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2" activeTab="0"/>
  </bookViews>
  <sheets>
    <sheet name="Capa" sheetId="1" r:id="rId1"/>
    <sheet name="CCapa" sheetId="2" r:id="rId2"/>
    <sheet name="Indice" sheetId="3" r:id="rId3"/>
    <sheet name="Mundial" sheetId="4" r:id="rId4"/>
    <sheet name="Brasil" sheetId="5" r:id="rId5"/>
    <sheet name="Indicadores" sheetId="6" r:id="rId6"/>
    <sheet name="Estoque" sheetId="7" r:id="rId7"/>
    <sheet name="Série Safras" sheetId="8" r:id="rId8"/>
    <sheet name="Preço" sheetId="9" r:id="rId9"/>
    <sheet name="Cotações" sheetId="10" r:id="rId10"/>
    <sheet name="Agro Ano" sheetId="11" r:id="rId11"/>
    <sheet name="Agro Mês" sheetId="12" r:id="rId12"/>
    <sheet name="Exportações" sheetId="13" r:id="rId13"/>
    <sheet name="Exp. Verde" sheetId="14" r:id="rId14"/>
    <sheet name="Exp. Solúvel" sheetId="15" r:id="rId15"/>
    <sheet name="Exp. Torrado" sheetId="16" r:id="rId16"/>
    <sheet name="Exp. Extrato" sheetId="17" r:id="rId17"/>
    <sheet name="Total" sheetId="18" r:id="rId18"/>
    <sheet name="Destinos" sheetId="19" r:id="rId19"/>
    <sheet name="Importações" sheetId="20" r:id="rId20"/>
    <sheet name="PM" sheetId="21" r:id="rId21"/>
    <sheet name="Safra 15" sheetId="22" r:id="rId22"/>
    <sheet name="Safra 14-15" sheetId="23" r:id="rId23"/>
    <sheet name="Safra 14" sheetId="24" r:id="rId24"/>
    <sheet name="Safra 13" sheetId="25" r:id="rId25"/>
    <sheet name="Ranking" sheetId="26" r:id="rId26"/>
    <sheet name="Plan1" sheetId="27" r:id="rId27"/>
    <sheet name="Plan3" sheetId="28" r:id="rId28"/>
  </sheets>
  <definedNames>
    <definedName name="_xlnm.Print_Area" localSheetId="3">'Mundial'!$A$1:$U$35</definedName>
  </definedNames>
  <calcPr fullCalcOnLoad="1"/>
</workbook>
</file>

<file path=xl/sharedStrings.xml><?xml version="1.0" encoding="utf-8"?>
<sst xmlns="http://schemas.openxmlformats.org/spreadsheetml/2006/main" count="1226" uniqueCount="501">
  <si>
    <t>Brasil</t>
  </si>
  <si>
    <t>Argentina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</si>
  <si>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</si>
  <si>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</si>
  <si>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</si>
  <si>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</si>
  <si>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</si>
  <si>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</si>
  <si>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</si>
  <si>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</si>
  <si>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</si>
  <si>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</si>
  <si>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BRASIL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</si>
  <si>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</si>
  <si>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</si>
  <si>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</si>
  <si>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</si>
  <si>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</si>
  <si>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</si>
  <si>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</si>
  <si>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</si>
  <si>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ÁREA</t>
  </si>
  <si>
    <t>PRODUÇÃO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</si>
  <si>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</si>
  <si>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</si>
  <si>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</si>
  <si>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</si>
  <si>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</si>
  <si>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</si>
  <si>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</si>
  <si>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</si>
  <si>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</si>
  <si>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</si>
  <si>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</si>
  <si>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</si>
  <si>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</si>
  <si>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</si>
  <si>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</si>
  <si>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</si>
  <si>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EVOLUÇÃO DOS PREÇOS AO PRODUTOR - Café Arábica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</si>
  <si>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</si>
  <si>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</si>
  <si>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</si>
  <si>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</si>
  <si>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</si>
  <si>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</si>
  <si>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</si>
  <si>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</si>
  <si>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</si>
  <si>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</si>
  <si>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</si>
  <si>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</si>
  <si>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</si>
  <si>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</si>
  <si>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</si>
  <si>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</si>
  <si>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</si>
  <si>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</si>
  <si>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</si>
  <si>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</si>
  <si>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</si>
  <si>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</si>
  <si>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</si>
  <si>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</si>
  <si>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</si>
  <si>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</si>
  <si>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</si>
  <si>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</si>
  <si>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</si>
  <si>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</si>
  <si>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</si>
  <si>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</si>
  <si>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</si>
  <si>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</si>
  <si>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</si>
  <si>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</si>
  <si>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</si>
  <si>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</si>
  <si>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</si>
  <si>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</si>
  <si>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</si>
  <si>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</si>
  <si>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</si>
  <si>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</si>
  <si>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</si>
  <si>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</si>
  <si>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</si>
  <si>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</si>
  <si>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</si>
  <si>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</si>
  <si>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</si>
  <si>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</si>
  <si>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</si>
  <si>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</si>
  <si>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</si>
  <si>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</si>
  <si>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</si>
  <si>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</si>
  <si>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</si>
  <si>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</si>
  <si>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</si>
  <si>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</si>
  <si>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</si>
  <si>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</si>
  <si>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</si>
  <si>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</si>
  <si>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</si>
  <si>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</si>
  <si>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</si>
  <si>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</si>
  <si>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</si>
  <si>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</si>
  <si>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</si>
  <si>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</si>
  <si>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</si>
  <si>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</si>
  <si>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</si>
  <si>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</si>
  <si>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</si>
  <si>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</si>
  <si>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</si>
  <si>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</si>
  <si>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</si>
  <si>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</si>
  <si>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Acum/6 meses</t>
  </si>
  <si>
    <t>Acum/12 meses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</si>
  <si>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</si>
  <si>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</si>
  <si>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</si>
  <si>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</si>
  <si>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</si>
  <si>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</si>
  <si>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</si>
  <si>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</si>
  <si>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</si>
  <si>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</si>
  <si>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</si>
  <si>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</si>
  <si>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</si>
  <si>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</si>
  <si>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</si>
  <si>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</si>
  <si>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</si>
  <si>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</si>
  <si>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</si>
  <si>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</si>
  <si>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</si>
  <si>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</si>
  <si>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</si>
  <si>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</si>
  <si>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</si>
  <si>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</si>
  <si>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</si>
  <si>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</si>
  <si>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</si>
  <si>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</si>
  <si>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</si>
  <si>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</si>
  <si>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</si>
  <si>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</si>
  <si>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</si>
  <si>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</si>
  <si>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</si>
  <si>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</si>
  <si>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</si>
  <si>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</si>
  <si>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>CAFÉ - BENEFICIADO</t>
  </si>
  <si>
    <t>PARQUE  CAFEEIRO</t>
  </si>
  <si>
    <t>UF /</t>
  </si>
  <si>
    <t>EM FORMAÇÃO</t>
  </si>
  <si>
    <t>EM  PRODUÇÃO</t>
  </si>
  <si>
    <t>(Mil sacas beneficiadas)</t>
  </si>
  <si>
    <t>PRODUTIVIDADE</t>
  </si>
  <si>
    <t>(Sacas /ha)</t>
  </si>
  <si>
    <t>(ha)</t>
  </si>
  <si>
    <t>Sul e Centro-Oeste</t>
  </si>
  <si>
    <t>Triângulo, Alto Paranaiba e Noroeste</t>
  </si>
  <si>
    <t>Norte, Jequitinhonha e Mucuri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</si>
  <si>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</si>
  <si>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</si>
  <si>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</si>
  <si>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</si>
  <si>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</si>
  <si>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</si>
  <si>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</si>
  <si>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</si>
  <si>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</si>
  <si>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</si>
  <si>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</si>
  <si>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</si>
  <si>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</si>
  <si>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</si>
  <si>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</si>
  <si>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</si>
  <si>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</si>
  <si>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</si>
  <si>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</si>
  <si>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</si>
  <si>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</si>
  <si>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</si>
  <si>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</si>
  <si>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</si>
  <si>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</si>
  <si>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</si>
  <si>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</si>
  <si>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</si>
  <si>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</si>
  <si>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</si>
  <si>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</si>
  <si>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</si>
  <si>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Cost. Mar.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</si>
  <si>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</si>
  <si>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</si>
  <si>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</si>
  <si>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</si>
  <si>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</si>
  <si>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</si>
  <si>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</si>
  <si>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</si>
  <si>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</si>
  <si>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</si>
  <si>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</si>
  <si>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</si>
  <si>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</si>
  <si>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Eslovenia</t>
  </si>
  <si>
    <t>Finlandia</t>
  </si>
  <si>
    <t>Importador</t>
  </si>
  <si>
    <t>PRAÇA</t>
  </si>
  <si>
    <t>Nova York</t>
  </si>
  <si>
    <t>EVOLUÇÃO DOS PREÇOS AO PRODUTOR - Café Conilon</t>
  </si>
  <si>
    <t>NY</t>
  </si>
  <si>
    <t>LD</t>
  </si>
  <si>
    <t>14/15</t>
  </si>
  <si>
    <t>15/16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</si>
  <si>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</si>
  <si>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</si>
  <si>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</si>
  <si>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</si>
  <si>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</si>
  <si>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</si>
  <si>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</si>
  <si>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</si>
  <si>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</si>
  <si>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</si>
  <si>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</si>
  <si>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</si>
  <si>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</si>
  <si>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Produção, Exportação e Consumo Mundial de Café</t>
  </si>
  <si>
    <t>Fonte: Desex</t>
  </si>
  <si>
    <t>Em 2014 por países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</si>
  <si>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</si>
  <si>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</si>
  <si>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</si>
  <si>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</si>
  <si>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</si>
  <si>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</si>
  <si>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</si>
  <si>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</si>
  <si>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</si>
  <si>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</si>
  <si>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</si>
  <si>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</si>
  <si>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</si>
  <si>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</si>
  <si>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</si>
  <si>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</si>
  <si>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</si>
  <si>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</si>
  <si>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</si>
  <si>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</si>
  <si>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</si>
  <si>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</si>
  <si>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</si>
  <si>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</si>
  <si>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</si>
  <si>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</si>
  <si>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</si>
  <si>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</si>
  <si>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</si>
  <si>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</si>
  <si>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</si>
  <si>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</si>
  <si>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</si>
  <si>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</si>
  <si>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</si>
  <si>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</si>
  <si>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</si>
  <si>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RANKING POR VALORES DE 2015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</si>
  <si>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</si>
  <si>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</si>
  <si>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</si>
  <si>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</si>
  <si>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</si>
  <si>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</si>
  <si>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</si>
  <si>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</si>
  <si>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</si>
  <si>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</si>
  <si>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</si>
  <si>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</si>
  <si>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</si>
  <si>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</si>
  <si>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Fonte: Bacen - Sicor (para produtores e cooperativas)</t>
  </si>
  <si>
    <t>em hectáres</t>
  </si>
  <si>
    <t>2014 - em milhões de sacas</t>
  </si>
  <si>
    <t>PARIDADE DE EXPORTAÇÃO</t>
  </si>
  <si>
    <t>(15/14)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</si>
  <si>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</si>
  <si>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</si>
  <si>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</si>
  <si>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</si>
  <si>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</si>
  <si>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</si>
  <si>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</si>
  <si>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</si>
  <si>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</si>
  <si>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UCRANIA</t>
  </si>
  <si>
    <t>ARABIA SAUDITA</t>
  </si>
  <si>
    <t>INDONESIA</t>
  </si>
  <si>
    <t>ARGENTINA</t>
  </si>
  <si>
    <t>CHILE</t>
  </si>
  <si>
    <t>CINGAPURA</t>
  </si>
  <si>
    <t>URUGUAI</t>
  </si>
  <si>
    <t>PARAGUAI</t>
  </si>
  <si>
    <t>BOLIVIA</t>
  </si>
  <si>
    <t>GEORGIA,REP.DA</t>
  </si>
  <si>
    <t>TAIWAN (FORMOSA)</t>
  </si>
  <si>
    <t>COREIA,REP.SUL</t>
  </si>
  <si>
    <t>MEXICO</t>
  </si>
  <si>
    <t>França</t>
  </si>
  <si>
    <t>US$ (cents/LP)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</si>
  <si>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</si>
  <si>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</si>
  <si>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</si>
  <si>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</si>
  <si>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</si>
  <si>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</si>
  <si>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</si>
  <si>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(3) Estimativa</t>
  </si>
  <si>
    <t>VARIAÇÃO RELATIVA (%)</t>
  </si>
  <si>
    <t>Jan a Dez/2014</t>
  </si>
  <si>
    <t>Jan a Dez/2013</t>
  </si>
  <si>
    <t>SAMOA</t>
  </si>
  <si>
    <t>CHINA</t>
  </si>
  <si>
    <t>Finlândia</t>
  </si>
  <si>
    <t>Portaria MAPA nº 094 de 06-05-2015</t>
  </si>
  <si>
    <t>abr/15 a mar/16</t>
  </si>
  <si>
    <t/>
  </si>
  <si>
    <t xml:space="preserve">Dólar/saca   = </t>
  </si>
  <si>
    <t>Área Financiada para Custeio - 2014</t>
  </si>
  <si>
    <t>Área Cultivada e Produção Brasileira - Safra 2014/15 e 2015/16</t>
  </si>
  <si>
    <t>Atualizado:</t>
  </si>
  <si>
    <t>SECRETARIA DE POLÍTICA AGRÍCOLA - SPA</t>
  </si>
  <si>
    <t>DEPARTAMENTO DE CRÉDITO, RECURSOS E RISCOS - DCRR</t>
  </si>
  <si>
    <t>INFORME ESTATÍSTICO DO CAFÉ</t>
  </si>
  <si>
    <t>Ministra: KÁTIA ABREU</t>
  </si>
  <si>
    <t>Secretária-Executiva: MARIA EMILIA MENDONÇA PEDROZA JABER</t>
  </si>
  <si>
    <t>Secretário da SPA: ANDRÉ MELONI NASSAR</t>
  </si>
  <si>
    <t>Diretor do DCRR: VITOR AUGUSTO OZAKI</t>
  </si>
  <si>
    <t>Elaborado pela Coordenação Geral de Gestão de Recursos</t>
  </si>
  <si>
    <t>Equipe Técnica</t>
  </si>
  <si>
    <t>Coordenador: Marconni Sobreira</t>
  </si>
  <si>
    <t>Antonio Augusto Ribeiro Vaz Costa</t>
  </si>
  <si>
    <t>Francisco Pires Sobrinho</t>
  </si>
  <si>
    <t>Getulio Akio Shinkawa</t>
  </si>
  <si>
    <t>Janaína Macedo Freitas</t>
  </si>
  <si>
    <t>Esplanada dos Ministérios, Bloco "D", 7º andar sala 744</t>
  </si>
  <si>
    <t>CEP: 70043-900 - Brasília - DF</t>
  </si>
  <si>
    <t>Telefone: (61) 3218-2812, 3322-0408</t>
  </si>
  <si>
    <t>Fax:         (61) 3322-0337</t>
  </si>
  <si>
    <t>e-mail: airton.camargo@agricultura.gov.br</t>
  </si>
  <si>
    <t>http://www.agricultura.gov.br/vegetal/cafe/estatisticas</t>
  </si>
  <si>
    <t>Selecione: Café</t>
  </si>
  <si>
    <t>TABELAS E GRÁFICOS</t>
  </si>
  <si>
    <t>Estoques Privados e Públicos de Café no Brasil</t>
  </si>
  <si>
    <t>Previsão de Safra - 2015</t>
  </si>
  <si>
    <t xml:space="preserve">Produção, Exportação e Consumo Mundial de Café (RANKING) </t>
  </si>
  <si>
    <t>Airton Camargo Pacheco da Silva</t>
  </si>
  <si>
    <t>Export.</t>
  </si>
  <si>
    <t>US$ mil</t>
  </si>
  <si>
    <t>Sacas mil</t>
  </si>
  <si>
    <t>Exportações Brasileiras</t>
  </si>
  <si>
    <t>Estatísticas Internacionais de Café</t>
  </si>
  <si>
    <t>MINISTÉRIO DA AGRICULTURA, PECUÁRIA E ABASTECIMENTO</t>
  </si>
  <si>
    <t xml:space="preserve">Estatísticas Internacionais de Café (Produção, exportação e consumo mundial - Principais países importadores do Brasil) </t>
  </si>
  <si>
    <t>Estatísticas Nacionais de Café</t>
  </si>
  <si>
    <t>RANKING POR VALORES DE 2014</t>
  </si>
  <si>
    <t>Elaboração: MAPA/SPA/DCRR</t>
  </si>
  <si>
    <t>(PRINCIPAIS IMPORTADORES)</t>
  </si>
  <si>
    <t>UNIÃO EUROPEIA 28</t>
  </si>
  <si>
    <t>COREIA DO SUL</t>
  </si>
  <si>
    <t>RUSSIA</t>
  </si>
  <si>
    <t>VENEZUELA</t>
  </si>
  <si>
    <t>LIBANO</t>
  </si>
  <si>
    <t>NORUEGA</t>
  </si>
  <si>
    <t>AUSTRALIA</t>
  </si>
  <si>
    <t>SIRIA</t>
  </si>
  <si>
    <t>EMIR.ARABES UN.</t>
  </si>
  <si>
    <t>HUNGRIA</t>
  </si>
  <si>
    <t>MALASIA</t>
  </si>
  <si>
    <t>GUINE EQUATORIAL</t>
  </si>
  <si>
    <t>PERU</t>
  </si>
  <si>
    <t>EXPORTAÇÕES BRASILEIRAS DE CAFÉ TORRADO</t>
  </si>
  <si>
    <t>EXPORTAÇÕES BRASILEIRAS DE CAFÉ EXTRATO</t>
  </si>
  <si>
    <t>Estaísticas Nacionais de Café (área cultivada, produção e financiamento da safra)</t>
  </si>
  <si>
    <t xml:space="preserve">Indicadores de Desempenho da Cafeicultura Brasileira - 2006 a 2015  </t>
  </si>
  <si>
    <t>Estoques privados com base no levantamento efetuado pela CONAB e divulgado em 31.03.15</t>
  </si>
  <si>
    <t>Última</t>
  </si>
  <si>
    <t>Série Histórica da Produção Nacional de Café - 2001 a 2015</t>
  </si>
  <si>
    <t>Acompanhamento Semanal de Preços Internos e Externos</t>
  </si>
  <si>
    <t xml:space="preserve">Cotação Mensal dos Preços de Cafés Recebidos pelos Produtores  </t>
  </si>
  <si>
    <t>Exportação do Agronegócio Brasileiro - Ranking dos Principais Produtos - 2014</t>
  </si>
  <si>
    <t>Exportação do Agronegócio Brasileiro - Ranking dos Principais Produtos - Comparativo Acumulado 2014/2015</t>
  </si>
  <si>
    <t>Total das Exportações Brasileiras de Cafés em sacas de 60 kg</t>
  </si>
  <si>
    <t>Exportações Brasileiras de Café Verde</t>
  </si>
  <si>
    <t>Exportações Brasileiras de Café Solúvel</t>
  </si>
  <si>
    <t>Exportações Brasileiras de Café Torrado e Moído</t>
  </si>
  <si>
    <t>Exportações Brasileiras de Outros Extratos, Concentrado de Café</t>
  </si>
  <si>
    <t>Exportações Brasileiras de Cafés - Principais Países Importadores</t>
  </si>
  <si>
    <t>Total das Importações Brasileiras de Cafés em sacas de 60 kg</t>
  </si>
  <si>
    <t>Preços Mínimos</t>
  </si>
  <si>
    <t>Jan a Dez/2012</t>
  </si>
  <si>
    <t>QUANTIDADE</t>
  </si>
  <si>
    <t>Nordeste</t>
  </si>
  <si>
    <t>Centro-Oeste</t>
  </si>
  <si>
    <t>Sudeste</t>
  </si>
  <si>
    <t>Norte/Nordeste</t>
  </si>
  <si>
    <t>Centro-Sul</t>
  </si>
  <si>
    <t>Fonte e Elaboração: CONAB</t>
  </si>
  <si>
    <t xml:space="preserve">Zona da Mata, Rio Doce e Central </t>
  </si>
  <si>
    <t>Safra - 2014</t>
  </si>
  <si>
    <t>Safra - 2013</t>
  </si>
  <si>
    <t>SAFRA  2014 - Estimativa Final</t>
  </si>
  <si>
    <t>SAFRA  2015 - Estimativa Final</t>
  </si>
  <si>
    <t>Ano</t>
  </si>
  <si>
    <t>ARÁBICA</t>
  </si>
  <si>
    <t>CONILON</t>
  </si>
  <si>
    <t>Área em Produção (há)</t>
  </si>
  <si>
    <t>Produção Total</t>
  </si>
  <si>
    <t>SAFRA  2015 - Estimativa de Setembro/15</t>
  </si>
  <si>
    <t>Regiões, Estados e Sub-regiões</t>
  </si>
  <si>
    <t>Produção de Robusta</t>
  </si>
  <si>
    <t>Produção de Arábica</t>
  </si>
  <si>
    <t>SAFRA  2015 - Estimativa de Junho/15 e Final de 2014</t>
  </si>
  <si>
    <t>(1) Com base no 3º Levantamento de Safra da CONAB - Set/15</t>
  </si>
  <si>
    <t>(2) De Jan a Set/15</t>
  </si>
  <si>
    <t>(4) De Jan a Set/15 - participação mundial</t>
  </si>
  <si>
    <t>Fonte: Conab - Levantamentos de Dez/2014 e Set/2015</t>
  </si>
  <si>
    <t xml:space="preserve"> </t>
  </si>
  <si>
    <t xml:space="preserve">     Fonte: Conab - Incluindo divulgação de set/2015</t>
  </si>
  <si>
    <t>Elaboração e Fonte: Mapa</t>
  </si>
  <si>
    <t xml:space="preserve">BC Tipo 6 Duro </t>
  </si>
  <si>
    <t xml:space="preserve">Tipo 7 Bebida Rio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</si>
  <si>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</si>
  <si>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</si>
  <si>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</si>
  <si>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</si>
  <si>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</si>
  <si>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</si>
  <si>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</si>
  <si>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>6. Participação Mundial do Café</t>
    </r>
    <r>
      <rPr>
        <sz val="10"/>
        <rFont val="Arial"/>
        <family val="2"/>
      </rPr>
      <t xml:space="preserve"> (%)</t>
    </r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</si>
  <si>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</si>
  <si>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</si>
  <si>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</si>
  <si>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</si>
  <si>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</si>
  <si>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CAFÉ - Média Mensal dos Preços Recebidos pelos Produtores - 2013/2014/2015</t>
  </si>
  <si>
    <t>Evolução (%)</t>
  </si>
  <si>
    <t>mês</t>
  </si>
  <si>
    <t>a 2014</t>
  </si>
  <si>
    <t>U$ saca</t>
  </si>
  <si>
    <t>Evolução %</t>
  </si>
  <si>
    <t>no mês</t>
  </si>
  <si>
    <t>Var.</t>
  </si>
  <si>
    <t>19 a 23/10</t>
  </si>
  <si>
    <t>28 a 02/10</t>
  </si>
  <si>
    <t>03 a 07/11</t>
  </si>
  <si>
    <r>
      <t>495,95</t>
    </r>
    <r>
      <rPr>
        <vertAlign val="superscript"/>
        <sz val="10"/>
        <rFont val="Arial"/>
        <family val="2"/>
      </rPr>
      <t>+</t>
    </r>
  </si>
  <si>
    <t>*CEPEA-ESALQ/BM&amp;F; **Boletim de Comércio de Minas Gerais (CCMG); e ***Boletim do Centro do Comércio de Vitória (CCV); (+)nova fonte e tipo a partir de Setembro/15.</t>
  </si>
  <si>
    <t>316,1+</t>
  </si>
  <si>
    <t>331,62+</t>
  </si>
  <si>
    <t>Jan a Out/2015</t>
  </si>
  <si>
    <t>Jan a Out/2014</t>
  </si>
  <si>
    <t>Jan a Out/15</t>
  </si>
  <si>
    <t>Jan a Out/14</t>
  </si>
  <si>
    <t>Outubro de 2015</t>
  </si>
  <si>
    <r>
      <t>15,94</t>
    </r>
    <r>
      <rPr>
        <vertAlign val="superscript"/>
        <sz val="11"/>
        <rFont val="Arial"/>
        <family val="2"/>
      </rPr>
      <t>(5)</t>
    </r>
  </si>
  <si>
    <t>(5) Estoques em 31/03 - Conab</t>
  </si>
  <si>
    <t>CANADÁ</t>
  </si>
  <si>
    <t>Conversão Outros Estratos, Essencias em sacas de 60 kg: peso liquido*2,6/60</t>
  </si>
  <si>
    <t>Outurbro</t>
  </si>
  <si>
    <r>
      <rPr>
        <sz val="11"/>
        <rFont val="Arial"/>
        <family val="2"/>
      </rPr>
      <t>30,5</t>
    </r>
    <r>
      <rPr>
        <vertAlign val="superscript"/>
        <sz val="11"/>
        <rFont val="Arial"/>
        <family val="2"/>
      </rPr>
      <t>(2)</t>
    </r>
  </si>
  <si>
    <r>
      <t>42,1</t>
    </r>
    <r>
      <rPr>
        <vertAlign val="superscript"/>
        <sz val="11"/>
        <rFont val="Arial"/>
        <family val="2"/>
      </rPr>
      <t>(1)</t>
    </r>
  </si>
  <si>
    <r>
      <t>6,4</t>
    </r>
    <r>
      <rPr>
        <vertAlign val="superscript"/>
        <sz val="11"/>
        <rFont val="Arial"/>
        <family val="2"/>
      </rPr>
      <t>(2)</t>
    </r>
  </si>
  <si>
    <r>
      <t>478,11</t>
    </r>
    <r>
      <rPr>
        <vertAlign val="superscript"/>
        <sz val="11"/>
        <rFont val="Arial"/>
        <family val="2"/>
      </rPr>
      <t>(2)</t>
    </r>
  </si>
  <si>
    <t>P. Baixos</t>
  </si>
  <si>
    <t>Coreia do Sul</t>
  </si>
  <si>
    <t>Em 2015 por países - até Outubro</t>
  </si>
  <si>
    <r>
      <t>21,0</t>
    </r>
    <r>
      <rPr>
        <vertAlign val="superscript"/>
        <sz val="11"/>
        <rFont val="Arial"/>
        <family val="2"/>
      </rPr>
      <t>(3)</t>
    </r>
  </si>
  <si>
    <r>
      <t>32,7</t>
    </r>
    <r>
      <rPr>
        <vertAlign val="superscript"/>
        <sz val="11"/>
        <rFont val="Arial"/>
        <family val="2"/>
      </rPr>
      <t>(4)</t>
    </r>
  </si>
  <si>
    <t>Ano 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</si>
</sst>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[$-F400]h:mm:ss\ AM/PM"/>
    <numFmt numFmtId="176" formatCode="_(* #,##0.0_);_(* \(#,##0.0\);_(* \-?_);_(@_)"/>
    <numFmt numFmtId="177" formatCode="_(* #,##0.0_);_(* \(#,##0.0\);_(* &quot;-&quot;_);_(@_)"/>
    <numFmt numFmtId="178" formatCode="d/m/yy"/>
    <numFmt numFmtId="179" formatCode="_(* #,##0_);_(* \(#,##0\);_(* &quot;-&quot;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b/>
      <sz val="14"/>
      <color indexed="10"/>
      <name val="Arial"/>
      <family val="2"/>
    </font>
    <font>
      <u val="single"/>
      <sz val="7.5"/>
      <color indexed="12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57"/>
      <name val="Calibri"/>
      <family val="0"/>
    </font>
    <font>
      <b/>
      <sz val="10"/>
      <color indexed="17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Arial"/>
      <family val="0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Gray">
        <fgColor indexed="50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 style="thin"/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/>
      <top/>
      <bottom style="medium"/>
    </border>
    <border>
      <left style="thin"/>
      <right/>
      <top style="medium"/>
      <bottom style="medium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thin"/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/>
      <bottom style="medium"/>
    </border>
    <border>
      <left/>
      <right style="thin"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 style="medium"/>
      <bottom style="medium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10" xfId="61" applyNumberFormat="1" applyFont="1" applyBorder="1" applyAlignment="1">
      <alignment/>
    </xf>
    <xf numFmtId="170" fontId="0" fillId="0" borderId="11" xfId="61" applyNumberFormat="1" applyFont="1" applyBorder="1" applyAlignment="1">
      <alignment/>
    </xf>
    <xf numFmtId="170" fontId="0" fillId="0" borderId="10" xfId="7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18" fillId="34" borderId="11" xfId="55" applyNumberFormat="1" applyFont="1" applyFill="1" applyBorder="1" applyAlignment="1">
      <alignment horizontal="center" vertical="center" wrapText="1"/>
      <protection/>
    </xf>
    <xf numFmtId="49" fontId="18" fillId="34" borderId="10" xfId="55" applyNumberFormat="1" applyFont="1" applyFill="1" applyBorder="1" applyAlignment="1">
      <alignment horizontal="center" vertical="center" wrapText="1"/>
      <protection/>
    </xf>
    <xf numFmtId="49" fontId="24" fillId="34" borderId="12" xfId="56" applyNumberFormat="1" applyFont="1" applyFill="1" applyBorder="1" applyAlignment="1">
      <alignment horizontal="left" vertical="center" indent="1"/>
      <protection/>
    </xf>
    <xf numFmtId="49" fontId="24" fillId="34" borderId="10" xfId="56" applyNumberFormat="1" applyFont="1" applyFill="1" applyBorder="1" applyAlignment="1">
      <alignment horizontal="left" vertical="center" indent="1"/>
      <protection/>
    </xf>
    <xf numFmtId="172" fontId="24" fillId="34" borderId="10" xfId="56" applyNumberFormat="1" applyFont="1" applyFill="1" applyBorder="1" applyAlignment="1">
      <alignment vertical="center"/>
      <protection/>
    </xf>
    <xf numFmtId="168" fontId="0" fillId="0" borderId="12" xfId="70" applyNumberFormat="1" applyFont="1" applyBorder="1" applyAlignment="1">
      <alignment horizontal="left" vertical="center"/>
    </xf>
    <xf numFmtId="168" fontId="0" fillId="0" borderId="10" xfId="7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68" fontId="0" fillId="0" borderId="12" xfId="70" applyNumberFormat="1" applyFont="1" applyBorder="1" applyAlignment="1">
      <alignment/>
    </xf>
    <xf numFmtId="168" fontId="0" fillId="0" borderId="10" xfId="70" applyNumberFormat="1" applyFont="1" applyBorder="1" applyAlignment="1">
      <alignment/>
    </xf>
    <xf numFmtId="164" fontId="0" fillId="33" borderId="10" xfId="70" applyNumberFormat="1" applyFont="1" applyFill="1" applyBorder="1" applyAlignment="1" quotePrefix="1">
      <alignment horizontal="right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8" fontId="0" fillId="0" borderId="12" xfId="7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0" fillId="33" borderId="10" xfId="70" applyNumberFormat="1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168" fontId="0" fillId="33" borderId="10" xfId="7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3" borderId="11" xfId="70" applyNumberFormat="1" applyFont="1" applyFill="1" applyBorder="1" applyAlignment="1">
      <alignment/>
    </xf>
    <xf numFmtId="168" fontId="0" fillId="0" borderId="11" xfId="70" applyNumberFormat="1" applyFont="1" applyBorder="1" applyAlignment="1">
      <alignment/>
    </xf>
    <xf numFmtId="168" fontId="0" fillId="0" borderId="10" xfId="7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35" borderId="13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168" fontId="0" fillId="0" borderId="14" xfId="70" applyNumberFormat="1" applyFont="1" applyFill="1" applyBorder="1" applyAlignment="1">
      <alignment/>
    </xf>
    <xf numFmtId="164" fontId="0" fillId="0" borderId="15" xfId="70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0" fillId="0" borderId="16" xfId="70" applyNumberFormat="1" applyFont="1" applyFill="1" applyBorder="1" applyAlignment="1">
      <alignment/>
    </xf>
    <xf numFmtId="168" fontId="0" fillId="0" borderId="17" xfId="70" applyNumberFormat="1" applyFont="1" applyFill="1" applyBorder="1" applyAlignment="1">
      <alignment/>
    </xf>
    <xf numFmtId="164" fontId="0" fillId="0" borderId="18" xfId="70" applyNumberFormat="1" applyFont="1" applyFill="1" applyBorder="1" applyAlignment="1">
      <alignment/>
    </xf>
    <xf numFmtId="164" fontId="0" fillId="0" borderId="19" xfId="7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center" vertical="center"/>
    </xf>
    <xf numFmtId="164" fontId="0" fillId="0" borderId="20" xfId="70" applyNumberFormat="1" applyFont="1" applyFill="1" applyBorder="1" applyAlignment="1">
      <alignment/>
    </xf>
    <xf numFmtId="164" fontId="0" fillId="0" borderId="21" xfId="70" applyNumberFormat="1" applyFont="1" applyFill="1" applyBorder="1" applyAlignment="1">
      <alignment/>
    </xf>
    <xf numFmtId="168" fontId="0" fillId="0" borderId="16" xfId="7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66" fontId="4" fillId="0" borderId="0" xfId="70" applyNumberFormat="1" applyFont="1" applyFill="1" applyBorder="1" applyAlignment="1">
      <alignment/>
    </xf>
    <xf numFmtId="0" fontId="15" fillId="36" borderId="13" xfId="0" applyFont="1" applyFill="1" applyBorder="1" applyAlignment="1">
      <alignment horizontal="center"/>
    </xf>
    <xf numFmtId="0" fontId="14" fillId="36" borderId="22" xfId="0" applyFont="1" applyFill="1" applyBorder="1" applyAlignment="1">
      <alignment/>
    </xf>
    <xf numFmtId="164" fontId="15" fillId="36" borderId="22" xfId="70" applyFont="1" applyFill="1" applyBorder="1" applyAlignment="1">
      <alignment/>
    </xf>
    <xf numFmtId="0" fontId="14" fillId="36" borderId="13" xfId="0" applyFont="1" applyFill="1" applyBorder="1" applyAlignment="1">
      <alignment/>
    </xf>
    <xf numFmtId="164" fontId="15" fillId="36" borderId="13" xfId="70" applyFont="1" applyFill="1" applyBorder="1" applyAlignment="1">
      <alignment/>
    </xf>
    <xf numFmtId="0" fontId="14" fillId="36" borderId="23" xfId="0" applyFont="1" applyFill="1" applyBorder="1" applyAlignment="1">
      <alignment/>
    </xf>
    <xf numFmtId="164" fontId="15" fillId="36" borderId="23" xfId="70" applyFont="1" applyFill="1" applyBorder="1" applyAlignment="1">
      <alignment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15" xfId="0" applyFill="1" applyBorder="1" applyAlignment="1">
      <alignment/>
    </xf>
    <xf numFmtId="0" fontId="16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9" fillId="37" borderId="19" xfId="0" applyFont="1" applyFill="1" applyBorder="1" applyAlignment="1">
      <alignment/>
    </xf>
    <xf numFmtId="0" fontId="14" fillId="16" borderId="14" xfId="0" applyFont="1" applyFill="1" applyBorder="1" applyAlignment="1">
      <alignment/>
    </xf>
    <xf numFmtId="0" fontId="15" fillId="16" borderId="0" xfId="0" applyFont="1" applyFill="1" applyBorder="1" applyAlignment="1">
      <alignment/>
    </xf>
    <xf numFmtId="0" fontId="15" fillId="16" borderId="20" xfId="0" applyFont="1" applyFill="1" applyBorder="1" applyAlignment="1">
      <alignment/>
    </xf>
    <xf numFmtId="0" fontId="15" fillId="16" borderId="17" xfId="0" applyFont="1" applyFill="1" applyBorder="1" applyAlignment="1">
      <alignment/>
    </xf>
    <xf numFmtId="0" fontId="15" fillId="16" borderId="19" xfId="0" applyFont="1" applyFill="1" applyBorder="1" applyAlignment="1">
      <alignment/>
    </xf>
    <xf numFmtId="0" fontId="15" fillId="16" borderId="18" xfId="0" applyFont="1" applyFill="1" applyBorder="1" applyAlignment="1">
      <alignment/>
    </xf>
    <xf numFmtId="0" fontId="15" fillId="16" borderId="20" xfId="0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/>
    </xf>
    <xf numFmtId="0" fontId="15" fillId="16" borderId="23" xfId="0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0" fontId="15" fillId="16" borderId="22" xfId="0" applyFont="1" applyFill="1" applyBorder="1" applyAlignment="1">
      <alignment/>
    </xf>
    <xf numFmtId="0" fontId="14" fillId="16" borderId="17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14" fillId="16" borderId="22" xfId="0" applyFont="1" applyFill="1" applyBorder="1" applyAlignment="1">
      <alignment/>
    </xf>
    <xf numFmtId="0" fontId="15" fillId="16" borderId="22" xfId="0" applyFont="1" applyFill="1" applyBorder="1" applyAlignment="1">
      <alignment horizontal="center"/>
    </xf>
    <xf numFmtId="164" fontId="15" fillId="16" borderId="22" xfId="70" applyFont="1" applyFill="1" applyBorder="1" applyAlignment="1">
      <alignment/>
    </xf>
    <xf numFmtId="164" fontId="15" fillId="16" borderId="22" xfId="70" applyNumberFormat="1" applyFont="1" applyFill="1" applyBorder="1" applyAlignment="1">
      <alignment/>
    </xf>
    <xf numFmtId="164" fontId="15" fillId="16" borderId="22" xfId="70" applyNumberFormat="1" applyFont="1" applyFill="1" applyBorder="1" applyAlignment="1">
      <alignment vertical="center"/>
    </xf>
    <xf numFmtId="164" fontId="14" fillId="16" borderId="15" xfId="70" applyFont="1" applyFill="1" applyBorder="1" applyAlignment="1">
      <alignment vertical="center"/>
    </xf>
    <xf numFmtId="0" fontId="15" fillId="16" borderId="23" xfId="0" applyFont="1" applyFill="1" applyBorder="1" applyAlignment="1">
      <alignment/>
    </xf>
    <xf numFmtId="164" fontId="15" fillId="16" borderId="23" xfId="70" applyNumberFormat="1" applyFont="1" applyFill="1" applyBorder="1" applyAlignment="1">
      <alignment/>
    </xf>
    <xf numFmtId="164" fontId="15" fillId="16" borderId="23" xfId="70" applyNumberFormat="1" applyFont="1" applyFill="1" applyBorder="1" applyAlignment="1">
      <alignment vertical="center"/>
    </xf>
    <xf numFmtId="0" fontId="15" fillId="16" borderId="19" xfId="0" applyFont="1" applyFill="1" applyBorder="1" applyAlignment="1">
      <alignment horizontal="center"/>
    </xf>
    <xf numFmtId="0" fontId="15" fillId="16" borderId="18" xfId="0" applyFont="1" applyFill="1" applyBorder="1" applyAlignment="1">
      <alignment vertical="center"/>
    </xf>
    <xf numFmtId="0" fontId="0" fillId="16" borderId="22" xfId="0" applyFont="1" applyFill="1" applyBorder="1" applyAlignment="1">
      <alignment/>
    </xf>
    <xf numFmtId="0" fontId="14" fillId="16" borderId="22" xfId="0" applyFont="1" applyFill="1" applyBorder="1" applyAlignment="1">
      <alignment horizontal="center"/>
    </xf>
    <xf numFmtId="0" fontId="14" fillId="16" borderId="11" xfId="0" applyFont="1" applyFill="1" applyBorder="1" applyAlignment="1">
      <alignment/>
    </xf>
    <xf numFmtId="0" fontId="15" fillId="16" borderId="24" xfId="0" applyFont="1" applyFill="1" applyBorder="1" applyAlignment="1">
      <alignment horizontal="center"/>
    </xf>
    <xf numFmtId="0" fontId="15" fillId="16" borderId="24" xfId="0" applyFont="1" applyFill="1" applyBorder="1" applyAlignment="1">
      <alignment/>
    </xf>
    <xf numFmtId="0" fontId="15" fillId="16" borderId="12" xfId="0" applyFont="1" applyFill="1" applyBorder="1" applyAlignment="1">
      <alignment vertical="center"/>
    </xf>
    <xf numFmtId="0" fontId="1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6" fillId="16" borderId="16" xfId="0" applyFont="1" applyFill="1" applyBorder="1" applyAlignment="1">
      <alignment/>
    </xf>
    <xf numFmtId="0" fontId="17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2" fillId="16" borderId="15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10" fillId="16" borderId="15" xfId="0" applyFont="1" applyFill="1" applyBorder="1" applyAlignment="1">
      <alignment horizontal="right"/>
    </xf>
    <xf numFmtId="166" fontId="4" fillId="16" borderId="15" xfId="70" applyNumberFormat="1" applyFont="1" applyFill="1" applyBorder="1" applyAlignment="1">
      <alignment/>
    </xf>
    <xf numFmtId="166" fontId="4" fillId="16" borderId="0" xfId="70" applyNumberFormat="1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2" fontId="2" fillId="16" borderId="15" xfId="0" applyNumberFormat="1" applyFont="1" applyFill="1" applyBorder="1" applyAlignment="1">
      <alignment horizontal="center"/>
    </xf>
    <xf numFmtId="0" fontId="10" fillId="16" borderId="16" xfId="0" applyFont="1" applyFill="1" applyBorder="1" applyAlignment="1">
      <alignment/>
    </xf>
    <xf numFmtId="0" fontId="10" fillId="16" borderId="15" xfId="0" applyFont="1" applyFill="1" applyBorder="1" applyAlignment="1">
      <alignment/>
    </xf>
    <xf numFmtId="166" fontId="4" fillId="16" borderId="0" xfId="0" applyNumberFormat="1" applyFont="1" applyFill="1" applyBorder="1" applyAlignment="1">
      <alignment horizontal="center" vertical="center"/>
    </xf>
    <xf numFmtId="0" fontId="0" fillId="16" borderId="17" xfId="0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19" xfId="0" applyFill="1" applyBorder="1" applyAlignment="1">
      <alignment/>
    </xf>
    <xf numFmtId="0" fontId="99" fillId="0" borderId="0" xfId="0" applyFont="1" applyAlignment="1">
      <alignment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4" fillId="16" borderId="0" xfId="0" applyFont="1" applyFill="1" applyBorder="1" applyAlignment="1">
      <alignment vertical="center"/>
    </xf>
    <xf numFmtId="166" fontId="4" fillId="16" borderId="0" xfId="7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74" fontId="33" fillId="0" borderId="0" xfId="0" applyNumberFormat="1" applyFont="1" applyBorder="1" applyAlignment="1">
      <alignment horizontal="center"/>
    </xf>
    <xf numFmtId="16" fontId="3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16" fontId="33" fillId="0" borderId="0" xfId="0" applyNumberFormat="1" applyFont="1" applyBorder="1" applyAlignment="1" quotePrefix="1">
      <alignment horizontal="center"/>
    </xf>
    <xf numFmtId="0" fontId="0" fillId="16" borderId="0" xfId="0" applyFill="1" applyBorder="1" applyAlignment="1">
      <alignment/>
    </xf>
    <xf numFmtId="0" fontId="3" fillId="16" borderId="16" xfId="0" applyFont="1" applyFill="1" applyBorder="1" applyAlignment="1">
      <alignment horizontal="center"/>
    </xf>
    <xf numFmtId="0" fontId="13" fillId="16" borderId="0" xfId="53" applyFont="1" applyFill="1" applyBorder="1">
      <alignment/>
      <protection/>
    </xf>
    <xf numFmtId="0" fontId="0" fillId="16" borderId="0" xfId="53" applyFont="1" applyFill="1" applyBorder="1">
      <alignment/>
      <protection/>
    </xf>
    <xf numFmtId="166" fontId="4" fillId="16" borderId="15" xfId="0" applyNumberFormat="1" applyFont="1" applyFill="1" applyBorder="1" applyAlignment="1">
      <alignment horizontal="center" vertical="center"/>
    </xf>
    <xf numFmtId="0" fontId="0" fillId="16" borderId="15" xfId="0" applyFill="1" applyBorder="1" applyAlignment="1">
      <alignment/>
    </xf>
    <xf numFmtId="0" fontId="0" fillId="16" borderId="18" xfId="0" applyFill="1" applyBorder="1" applyAlignment="1">
      <alignment/>
    </xf>
    <xf numFmtId="0" fontId="0" fillId="38" borderId="0" xfId="0" applyFill="1" applyAlignment="1">
      <alignment/>
    </xf>
    <xf numFmtId="2" fontId="20" fillId="16" borderId="0" xfId="0" applyNumberFormat="1" applyFont="1" applyFill="1" applyAlignment="1">
      <alignment horizontal="left"/>
    </xf>
    <xf numFmtId="0" fontId="0" fillId="16" borderId="0" xfId="0" applyFont="1" applyFill="1" applyBorder="1" applyAlignment="1">
      <alignment/>
    </xf>
    <xf numFmtId="2" fontId="0" fillId="16" borderId="0" xfId="0" applyNumberFormat="1" applyFont="1" applyFill="1" applyBorder="1" applyAlignment="1">
      <alignment/>
    </xf>
    <xf numFmtId="0" fontId="19" fillId="16" borderId="0" xfId="0" applyFont="1" applyFill="1" applyBorder="1" applyAlignment="1">
      <alignment horizontal="center"/>
    </xf>
    <xf numFmtId="0" fontId="7" fillId="16" borderId="16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165" fontId="5" fillId="16" borderId="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36" fillId="37" borderId="0" xfId="0" applyFont="1" applyFill="1" applyAlignment="1">
      <alignment/>
    </xf>
    <xf numFmtId="0" fontId="7" fillId="16" borderId="10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165" fontId="5" fillId="8" borderId="0" xfId="0" applyNumberFormat="1" applyFont="1" applyFill="1" applyBorder="1" applyAlignment="1">
      <alignment horizontal="center"/>
    </xf>
    <xf numFmtId="0" fontId="35" fillId="6" borderId="16" xfId="0" applyFont="1" applyFill="1" applyBorder="1" applyAlignment="1">
      <alignment/>
    </xf>
    <xf numFmtId="165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5" fontId="5" fillId="12" borderId="0" xfId="0" applyNumberFormat="1" applyFont="1" applyFill="1" applyBorder="1" applyAlignment="1">
      <alignment horizontal="center"/>
    </xf>
    <xf numFmtId="0" fontId="7" fillId="12" borderId="0" xfId="0" applyFont="1" applyFill="1" applyBorder="1" applyAlignment="1">
      <alignment/>
    </xf>
    <xf numFmtId="0" fontId="100" fillId="39" borderId="16" xfId="0" applyFont="1" applyFill="1" applyBorder="1" applyAlignment="1">
      <alignment/>
    </xf>
    <xf numFmtId="165" fontId="101" fillId="39" borderId="0" xfId="0" applyNumberFormat="1" applyFont="1" applyFill="1" applyBorder="1" applyAlignment="1">
      <alignment horizontal="center"/>
    </xf>
    <xf numFmtId="0" fontId="102" fillId="40" borderId="16" xfId="0" applyFont="1" applyFill="1" applyBorder="1" applyAlignment="1">
      <alignment/>
    </xf>
    <xf numFmtId="165" fontId="101" fillId="40" borderId="0" xfId="0" applyNumberFormat="1" applyFont="1" applyFill="1" applyBorder="1" applyAlignment="1">
      <alignment horizontal="center"/>
    </xf>
    <xf numFmtId="0" fontId="102" fillId="41" borderId="16" xfId="0" applyFont="1" applyFill="1" applyBorder="1" applyAlignment="1">
      <alignment/>
    </xf>
    <xf numFmtId="2" fontId="101" fillId="41" borderId="0" xfId="0" applyNumberFormat="1" applyFont="1" applyFill="1" applyBorder="1" applyAlignment="1">
      <alignment horizontal="center"/>
    </xf>
    <xf numFmtId="0" fontId="7" fillId="12" borderId="16" xfId="0" applyFont="1" applyFill="1" applyBorder="1" applyAlignment="1">
      <alignment/>
    </xf>
    <xf numFmtId="3" fontId="5" fillId="6" borderId="0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3" fontId="5" fillId="12" borderId="0" xfId="0" applyNumberFormat="1" applyFont="1" applyFill="1" applyBorder="1" applyAlignment="1">
      <alignment horizontal="center"/>
    </xf>
    <xf numFmtId="165" fontId="5" fillId="12" borderId="0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13" fillId="37" borderId="0" xfId="0" applyFont="1" applyFill="1" applyAlignment="1">
      <alignment/>
    </xf>
    <xf numFmtId="0" fontId="7" fillId="16" borderId="12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/>
    </xf>
    <xf numFmtId="0" fontId="0" fillId="16" borderId="16" xfId="0" applyFill="1" applyBorder="1" applyAlignment="1">
      <alignment/>
    </xf>
    <xf numFmtId="0" fontId="22" fillId="16" borderId="19" xfId="56" applyFont="1" applyFill="1" applyBorder="1">
      <alignment/>
      <protection/>
    </xf>
    <xf numFmtId="171" fontId="22" fillId="19" borderId="10" xfId="58" applyNumberFormat="1" applyFont="1" applyFill="1" applyBorder="1" applyAlignment="1">
      <alignment horizontal="right" vertical="center"/>
    </xf>
    <xf numFmtId="49" fontId="22" fillId="0" borderId="20" xfId="56" applyNumberFormat="1" applyFont="1" applyFill="1" applyBorder="1" applyAlignment="1">
      <alignment horizontal="left" vertical="center" indent="1"/>
      <protection/>
    </xf>
    <xf numFmtId="49" fontId="22" fillId="0" borderId="15" xfId="56" applyNumberFormat="1" applyFont="1" applyFill="1" applyBorder="1" applyAlignment="1">
      <alignment horizontal="left" vertical="center" indent="1"/>
      <protection/>
    </xf>
    <xf numFmtId="49" fontId="23" fillId="0" borderId="15" xfId="56" applyNumberFormat="1" applyFont="1" applyFill="1" applyBorder="1" applyAlignment="1">
      <alignment horizontal="left" vertical="center" indent="1"/>
      <protection/>
    </xf>
    <xf numFmtId="49" fontId="22" fillId="0" borderId="18" xfId="56" applyNumberFormat="1" applyFont="1" applyFill="1" applyBorder="1" applyAlignment="1">
      <alignment horizontal="left" vertical="center" indent="1"/>
      <protection/>
    </xf>
    <xf numFmtId="171" fontId="22" fillId="0" borderId="20" xfId="58" applyNumberFormat="1" applyFont="1" applyFill="1" applyBorder="1" applyAlignment="1">
      <alignment horizontal="right" vertical="center"/>
    </xf>
    <xf numFmtId="171" fontId="22" fillId="0" borderId="15" xfId="58" applyNumberFormat="1" applyFont="1" applyFill="1" applyBorder="1" applyAlignment="1">
      <alignment horizontal="right" vertical="center"/>
    </xf>
    <xf numFmtId="171" fontId="23" fillId="0" borderId="15" xfId="58" applyNumberFormat="1" applyFont="1" applyFill="1" applyBorder="1" applyAlignment="1">
      <alignment horizontal="right" vertical="center"/>
    </xf>
    <xf numFmtId="168" fontId="22" fillId="0" borderId="13" xfId="70" applyNumberFormat="1" applyFont="1" applyBorder="1" applyAlignment="1">
      <alignment/>
    </xf>
    <xf numFmtId="168" fontId="22" fillId="0" borderId="22" xfId="70" applyNumberFormat="1" applyFont="1" applyBorder="1" applyAlignment="1">
      <alignment/>
    </xf>
    <xf numFmtId="172" fontId="13" fillId="0" borderId="23" xfId="56" applyNumberFormat="1" applyFont="1" applyFill="1" applyBorder="1" applyAlignment="1">
      <alignment horizontal="right" vertical="center"/>
      <protection/>
    </xf>
    <xf numFmtId="166" fontId="4" fillId="16" borderId="19" xfId="7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4" fillId="16" borderId="17" xfId="0" applyFont="1" applyFill="1" applyBorder="1" applyAlignment="1">
      <alignment vertical="center"/>
    </xf>
    <xf numFmtId="166" fontId="4" fillId="16" borderId="18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6" borderId="25" xfId="0" applyFill="1" applyBorder="1" applyAlignment="1">
      <alignment/>
    </xf>
    <xf numFmtId="0" fontId="0" fillId="16" borderId="0" xfId="0" applyFont="1" applyFill="1" applyAlignment="1">
      <alignment/>
    </xf>
    <xf numFmtId="0" fontId="0" fillId="13" borderId="26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 horizontal="center" vertical="center" wrapText="1"/>
    </xf>
    <xf numFmtId="49" fontId="22" fillId="16" borderId="0" xfId="56" applyNumberFormat="1" applyFont="1" applyFill="1" applyBorder="1" applyAlignment="1">
      <alignment horizontal="left" vertical="center" indent="1"/>
      <protection/>
    </xf>
    <xf numFmtId="171" fontId="22" fillId="16" borderId="0" xfId="58" applyNumberFormat="1" applyFont="1" applyFill="1" applyBorder="1" applyAlignment="1">
      <alignment horizontal="right" vertical="center"/>
    </xf>
    <xf numFmtId="2" fontId="0" fillId="16" borderId="0" xfId="0" applyNumberFormat="1" applyFill="1" applyBorder="1" applyAlignment="1">
      <alignment/>
    </xf>
    <xf numFmtId="49" fontId="24" fillId="16" borderId="0" xfId="56" applyNumberFormat="1" applyFont="1" applyFill="1" applyBorder="1" applyAlignment="1">
      <alignment horizontal="left" vertical="center" indent="1"/>
      <protection/>
    </xf>
    <xf numFmtId="172" fontId="24" fillId="16" borderId="0" xfId="56" applyNumberFormat="1" applyFont="1" applyFill="1" applyBorder="1" applyAlignment="1">
      <alignment vertical="center"/>
      <protection/>
    </xf>
    <xf numFmtId="0" fontId="4" fillId="16" borderId="0" xfId="0" applyFont="1" applyFill="1" applyAlignment="1">
      <alignment/>
    </xf>
    <xf numFmtId="4" fontId="8" fillId="0" borderId="31" xfId="70" applyNumberFormat="1" applyFont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/>
    </xf>
    <xf numFmtId="168" fontId="0" fillId="36" borderId="22" xfId="70" applyNumberFormat="1" applyFont="1" applyFill="1" applyBorder="1" applyAlignment="1">
      <alignment/>
    </xf>
    <xf numFmtId="0" fontId="7" fillId="36" borderId="15" xfId="0" applyFont="1" applyFill="1" applyBorder="1" applyAlignment="1">
      <alignment horizontal="center"/>
    </xf>
    <xf numFmtId="168" fontId="7" fillId="36" borderId="22" xfId="70" applyNumberFormat="1" applyFont="1" applyFill="1" applyBorder="1" applyAlignment="1">
      <alignment/>
    </xf>
    <xf numFmtId="168" fontId="7" fillId="36" borderId="32" xfId="70" applyNumberFormat="1" applyFont="1" applyFill="1" applyBorder="1" applyAlignment="1">
      <alignment/>
    </xf>
    <xf numFmtId="166" fontId="7" fillId="36" borderId="0" xfId="70" applyNumberFormat="1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168" fontId="7" fillId="36" borderId="30" xfId="70" applyNumberFormat="1" applyFont="1" applyFill="1" applyBorder="1" applyAlignment="1">
      <alignment/>
    </xf>
    <xf numFmtId="0" fontId="7" fillId="12" borderId="29" xfId="0" applyFont="1" applyFill="1" applyBorder="1" applyAlignment="1">
      <alignment horizontal="center"/>
    </xf>
    <xf numFmtId="168" fontId="7" fillId="12" borderId="30" xfId="70" applyNumberFormat="1" applyFont="1" applyFill="1" applyBorder="1" applyAlignment="1">
      <alignment/>
    </xf>
    <xf numFmtId="16" fontId="15" fillId="16" borderId="22" xfId="0" applyNumberFormat="1" applyFont="1" applyFill="1" applyBorder="1" applyAlignment="1" quotePrefix="1">
      <alignment horizontal="center"/>
    </xf>
    <xf numFmtId="166" fontId="7" fillId="36" borderId="15" xfId="70" applyNumberFormat="1" applyFont="1" applyFill="1" applyBorder="1" applyAlignment="1">
      <alignment/>
    </xf>
    <xf numFmtId="166" fontId="7" fillId="36" borderId="29" xfId="70" applyNumberFormat="1" applyFont="1" applyFill="1" applyBorder="1" applyAlignment="1">
      <alignment/>
    </xf>
    <xf numFmtId="166" fontId="5" fillId="36" borderId="15" xfId="70" applyNumberFormat="1" applyFont="1" applyFill="1" applyBorder="1" applyAlignment="1">
      <alignment/>
    </xf>
    <xf numFmtId="166" fontId="5" fillId="36" borderId="29" xfId="70" applyNumberFormat="1" applyFont="1" applyFill="1" applyBorder="1" applyAlignment="1">
      <alignment/>
    </xf>
    <xf numFmtId="166" fontId="7" fillId="12" borderId="33" xfId="70" applyNumberFormat="1" applyFont="1" applyFill="1" applyBorder="1" applyAlignment="1">
      <alignment/>
    </xf>
    <xf numFmtId="166" fontId="5" fillId="36" borderId="16" xfId="70" applyNumberFormat="1" applyFont="1" applyFill="1" applyBorder="1" applyAlignment="1">
      <alignment/>
    </xf>
    <xf numFmtId="166" fontId="7" fillId="12" borderId="34" xfId="70" applyNumberFormat="1" applyFont="1" applyFill="1" applyBorder="1" applyAlignment="1">
      <alignment/>
    </xf>
    <xf numFmtId="166" fontId="5" fillId="36" borderId="0" xfId="70" applyNumberFormat="1" applyFont="1" applyFill="1" applyBorder="1" applyAlignment="1">
      <alignment/>
    </xf>
    <xf numFmtId="168" fontId="5" fillId="36" borderId="22" xfId="70" applyNumberFormat="1" applyFont="1" applyFill="1" applyBorder="1" applyAlignment="1">
      <alignment/>
    </xf>
    <xf numFmtId="168" fontId="5" fillId="36" borderId="30" xfId="70" applyNumberFormat="1" applyFont="1" applyFill="1" applyBorder="1" applyAlignment="1">
      <alignment/>
    </xf>
    <xf numFmtId="168" fontId="7" fillId="12" borderId="26" xfId="70" applyNumberFormat="1" applyFont="1" applyFill="1" applyBorder="1" applyAlignment="1">
      <alignment/>
    </xf>
    <xf numFmtId="169" fontId="37" fillId="16" borderId="19" xfId="0" applyNumberFormat="1" applyFont="1" applyFill="1" applyBorder="1" applyAlignment="1">
      <alignment horizontal="left"/>
    </xf>
    <xf numFmtId="0" fontId="15" fillId="16" borderId="21" xfId="0" applyFont="1" applyFill="1" applyBorder="1" applyAlignment="1">
      <alignment horizontal="center"/>
    </xf>
    <xf numFmtId="0" fontId="15" fillId="16" borderId="21" xfId="0" applyFont="1" applyFill="1" applyBorder="1" applyAlignment="1">
      <alignment/>
    </xf>
    <xf numFmtId="164" fontId="14" fillId="16" borderId="18" xfId="70" applyFont="1" applyFill="1" applyBorder="1" applyAlignment="1">
      <alignment vertical="center"/>
    </xf>
    <xf numFmtId="164" fontId="0" fillId="0" borderId="15" xfId="70" applyFont="1" applyBorder="1" applyAlignment="1">
      <alignment/>
    </xf>
    <xf numFmtId="164" fontId="0" fillId="0" borderId="20" xfId="70" applyFont="1" applyBorder="1" applyAlignment="1">
      <alignment/>
    </xf>
    <xf numFmtId="164" fontId="0" fillId="0" borderId="18" xfId="70" applyFont="1" applyBorder="1" applyAlignment="1">
      <alignment/>
    </xf>
    <xf numFmtId="164" fontId="0" fillId="0" borderId="20" xfId="70" applyFont="1" applyFill="1" applyBorder="1" applyAlignment="1">
      <alignment horizontal="center"/>
    </xf>
    <xf numFmtId="164" fontId="0" fillId="0" borderId="0" xfId="70" applyFont="1" applyFill="1" applyBorder="1" applyAlignment="1">
      <alignment horizontal="center"/>
    </xf>
    <xf numFmtId="164" fontId="0" fillId="0" borderId="0" xfId="70" applyFont="1" applyAlignment="1">
      <alignment/>
    </xf>
    <xf numFmtId="164" fontId="0" fillId="0" borderId="19" xfId="70" applyFont="1" applyBorder="1" applyAlignment="1">
      <alignment/>
    </xf>
    <xf numFmtId="1" fontId="8" fillId="42" borderId="10" xfId="0" applyNumberFormat="1" applyFont="1" applyFill="1" applyBorder="1" applyAlignment="1">
      <alignment horizontal="center" vertical="center"/>
    </xf>
    <xf numFmtId="168" fontId="0" fillId="0" borderId="18" xfId="70" applyNumberFormat="1" applyFont="1" applyBorder="1" applyAlignment="1">
      <alignment horizontal="left" vertical="center"/>
    </xf>
    <xf numFmtId="0" fontId="0" fillId="43" borderId="29" xfId="0" applyFont="1" applyFill="1" applyBorder="1" applyAlignment="1">
      <alignment horizontal="center"/>
    </xf>
    <xf numFmtId="2" fontId="8" fillId="42" borderId="35" xfId="0" applyNumberFormat="1" applyFont="1" applyFill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168" fontId="0" fillId="0" borderId="36" xfId="70" applyNumberFormat="1" applyFont="1" applyBorder="1" applyAlignment="1">
      <alignment horizontal="left" vertical="center"/>
    </xf>
    <xf numFmtId="168" fontId="8" fillId="34" borderId="10" xfId="7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164" fontId="8" fillId="34" borderId="10" xfId="70" applyNumberFormat="1" applyFont="1" applyFill="1" applyBorder="1" applyAlignment="1" quotePrefix="1">
      <alignment horizontal="right"/>
    </xf>
    <xf numFmtId="4" fontId="8" fillId="34" borderId="10" xfId="0" applyNumberFormat="1" applyFont="1" applyFill="1" applyBorder="1" applyAlignment="1">
      <alignment/>
    </xf>
    <xf numFmtId="164" fontId="8" fillId="34" borderId="11" xfId="70" applyNumberFormat="1" applyFont="1" applyFill="1" applyBorder="1" applyAlignment="1" quotePrefix="1">
      <alignment horizontal="right"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68" fontId="8" fillId="33" borderId="12" xfId="70" applyNumberFormat="1" applyFont="1" applyFill="1" applyBorder="1" applyAlignment="1">
      <alignment/>
    </xf>
    <xf numFmtId="168" fontId="8" fillId="33" borderId="10" xfId="70" applyNumberFormat="1" applyFont="1" applyFill="1" applyBorder="1" applyAlignment="1">
      <alignment/>
    </xf>
    <xf numFmtId="168" fontId="8" fillId="33" borderId="10" xfId="70" applyNumberFormat="1" applyFont="1" applyFill="1" applyBorder="1" applyAlignment="1" quotePrefix="1">
      <alignment horizontal="right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34" borderId="12" xfId="0" applyFont="1" applyFill="1" applyBorder="1" applyAlignment="1">
      <alignment horizontal="center"/>
    </xf>
    <xf numFmtId="168" fontId="8" fillId="34" borderId="12" xfId="70" applyNumberFormat="1" applyFont="1" applyFill="1" applyBorder="1" applyAlignment="1">
      <alignment horizontal="right" vertical="center"/>
    </xf>
    <xf numFmtId="168" fontId="8" fillId="34" borderId="10" xfId="70" applyNumberFormat="1" applyFont="1" applyFill="1" applyBorder="1" applyAlignment="1" quotePrefix="1">
      <alignment horizontal="right"/>
    </xf>
    <xf numFmtId="4" fontId="8" fillId="34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7" fillId="16" borderId="21" xfId="0" applyFont="1" applyFill="1" applyBorder="1" applyAlignment="1">
      <alignment horizontal="center"/>
    </xf>
    <xf numFmtId="0" fontId="17" fillId="16" borderId="20" xfId="0" applyFont="1" applyFill="1" applyBorder="1" applyAlignment="1">
      <alignment horizontal="center"/>
    </xf>
    <xf numFmtId="0" fontId="15" fillId="16" borderId="20" xfId="0" applyFont="1" applyFill="1" applyBorder="1" applyAlignment="1">
      <alignment horizontal="center" vertical="center"/>
    </xf>
    <xf numFmtId="164" fontId="15" fillId="16" borderId="18" xfId="7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vertical="center"/>
    </xf>
    <xf numFmtId="0" fontId="14" fillId="16" borderId="17" xfId="0" applyFont="1" applyFill="1" applyBorder="1" applyAlignment="1">
      <alignment vertical="center"/>
    </xf>
    <xf numFmtId="164" fontId="15" fillId="16" borderId="18" xfId="70" applyFont="1" applyFill="1" applyBorder="1" applyAlignment="1">
      <alignment vertical="center"/>
    </xf>
    <xf numFmtId="164" fontId="15" fillId="16" borderId="19" xfId="7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166" fontId="5" fillId="36" borderId="22" xfId="7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166" fontId="5" fillId="36" borderId="22" xfId="70" applyNumberFormat="1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166" fontId="5" fillId="36" borderId="30" xfId="70" applyNumberFormat="1" applyFont="1" applyFill="1" applyBorder="1" applyAlignment="1">
      <alignment/>
    </xf>
    <xf numFmtId="166" fontId="5" fillId="36" borderId="25" xfId="70" applyNumberFormat="1" applyFont="1" applyFill="1" applyBorder="1" applyAlignment="1">
      <alignment/>
    </xf>
    <xf numFmtId="168" fontId="5" fillId="36" borderId="15" xfId="70" applyNumberFormat="1" applyFont="1" applyFill="1" applyBorder="1" applyAlignment="1">
      <alignment/>
    </xf>
    <xf numFmtId="168" fontId="5" fillId="36" borderId="0" xfId="70" applyNumberFormat="1" applyFont="1" applyFill="1" applyBorder="1" applyAlignment="1">
      <alignment/>
    </xf>
    <xf numFmtId="168" fontId="5" fillId="36" borderId="29" xfId="70" applyNumberFormat="1" applyFont="1" applyFill="1" applyBorder="1" applyAlignment="1">
      <alignment/>
    </xf>
    <xf numFmtId="168" fontId="5" fillId="36" borderId="25" xfId="70" applyNumberFormat="1" applyFont="1" applyFill="1" applyBorder="1" applyAlignment="1">
      <alignment/>
    </xf>
    <xf numFmtId="0" fontId="5" fillId="16" borderId="0" xfId="0" applyFont="1" applyFill="1" applyBorder="1" applyAlignment="1">
      <alignment horizontal="center"/>
    </xf>
    <xf numFmtId="168" fontId="5" fillId="16" borderId="0" xfId="70" applyNumberFormat="1" applyFont="1" applyFill="1" applyBorder="1" applyAlignment="1">
      <alignment/>
    </xf>
    <xf numFmtId="168" fontId="0" fillId="16" borderId="0" xfId="70" applyNumberFormat="1" applyFont="1" applyFill="1" applyBorder="1" applyAlignment="1">
      <alignment/>
    </xf>
    <xf numFmtId="169" fontId="38" fillId="16" borderId="19" xfId="0" applyNumberFormat="1" applyFont="1" applyFill="1" applyBorder="1" applyAlignment="1">
      <alignment horizontal="left"/>
    </xf>
    <xf numFmtId="168" fontId="5" fillId="0" borderId="0" xfId="70" applyNumberFormat="1" applyFont="1" applyAlignment="1">
      <alignment/>
    </xf>
    <xf numFmtId="0" fontId="9" fillId="37" borderId="0" xfId="0" applyFont="1" applyFill="1" applyBorder="1" applyAlignment="1">
      <alignment/>
    </xf>
    <xf numFmtId="168" fontId="5" fillId="0" borderId="29" xfId="7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20" xfId="0" applyFill="1" applyBorder="1" applyAlignment="1">
      <alignment/>
    </xf>
    <xf numFmtId="0" fontId="4" fillId="16" borderId="19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164" fontId="15" fillId="16" borderId="20" xfId="70" applyFont="1" applyFill="1" applyBorder="1" applyAlignment="1">
      <alignment vertical="center"/>
    </xf>
    <xf numFmtId="0" fontId="15" fillId="16" borderId="21" xfId="0" applyFont="1" applyFill="1" applyBorder="1" applyAlignment="1">
      <alignment horizontal="left" vertical="center"/>
    </xf>
    <xf numFmtId="49" fontId="18" fillId="16" borderId="0" xfId="55" applyNumberFormat="1" applyFont="1" applyFill="1" applyBorder="1" applyAlignment="1">
      <alignment horizontal="center" vertical="center" wrapText="1"/>
      <protection/>
    </xf>
    <xf numFmtId="3" fontId="3" fillId="16" borderId="0" xfId="0" applyNumberFormat="1" applyFont="1" applyFill="1" applyAlignment="1">
      <alignment horizontal="center"/>
    </xf>
    <xf numFmtId="164" fontId="15" fillId="16" borderId="22" xfId="70" applyNumberFormat="1" applyFont="1" applyFill="1" applyBorder="1" applyAlignment="1">
      <alignment horizontal="right"/>
    </xf>
    <xf numFmtId="168" fontId="0" fillId="16" borderId="19" xfId="70" applyNumberFormat="1" applyFont="1" applyFill="1" applyBorder="1" applyAlignment="1">
      <alignment/>
    </xf>
    <xf numFmtId="0" fontId="8" fillId="34" borderId="18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/>
      <protection/>
    </xf>
    <xf numFmtId="0" fontId="12" fillId="16" borderId="0" xfId="0" applyFont="1" applyFill="1" applyBorder="1" applyAlignment="1">
      <alignment horizontal="center"/>
    </xf>
    <xf numFmtId="2" fontId="8" fillId="19" borderId="24" xfId="0" applyNumberFormat="1" applyFont="1" applyFill="1" applyBorder="1" applyAlignment="1">
      <alignment horizontal="center"/>
    </xf>
    <xf numFmtId="2" fontId="8" fillId="19" borderId="12" xfId="0" applyNumberFormat="1" applyFont="1" applyFill="1" applyBorder="1" applyAlignment="1">
      <alignment horizontal="center"/>
    </xf>
    <xf numFmtId="2" fontId="12" fillId="16" borderId="0" xfId="0" applyNumberFormat="1" applyFont="1" applyFill="1" applyAlignment="1">
      <alignment horizontal="right"/>
    </xf>
    <xf numFmtId="2" fontId="12" fillId="16" borderId="0" xfId="0" applyNumberFormat="1" applyFont="1" applyFill="1" applyAlignment="1">
      <alignment horizontal="center"/>
    </xf>
    <xf numFmtId="2" fontId="12" fillId="16" borderId="19" xfId="0" applyNumberFormat="1" applyFont="1" applyFill="1" applyBorder="1" applyAlignment="1">
      <alignment horizontal="right"/>
    </xf>
    <xf numFmtId="2" fontId="12" fillId="16" borderId="19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37" borderId="0" xfId="0" applyFont="1" applyFill="1" applyAlignment="1">
      <alignment/>
    </xf>
    <xf numFmtId="0" fontId="12" fillId="16" borderId="19" xfId="45" applyFont="1" applyFill="1" applyBorder="1" applyAlignment="1" applyProtection="1">
      <alignment horizontal="left" vertical="center"/>
      <protection/>
    </xf>
    <xf numFmtId="0" fontId="0" fillId="16" borderId="25" xfId="0" applyFont="1" applyFill="1" applyBorder="1" applyAlignment="1">
      <alignment/>
    </xf>
    <xf numFmtId="0" fontId="8" fillId="19" borderId="33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/>
    </xf>
    <xf numFmtId="1" fontId="8" fillId="43" borderId="10" xfId="0" applyNumberFormat="1" applyFont="1" applyFill="1" applyBorder="1" applyAlignment="1">
      <alignment horizontal="center" vertical="center"/>
    </xf>
    <xf numFmtId="3" fontId="8" fillId="43" borderId="35" xfId="0" applyNumberFormat="1" applyFont="1" applyFill="1" applyBorder="1" applyAlignment="1">
      <alignment horizontal="center" vertical="center"/>
    </xf>
    <xf numFmtId="3" fontId="8" fillId="43" borderId="31" xfId="0" applyNumberFormat="1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164" fontId="0" fillId="13" borderId="28" xfId="70" applyFont="1" applyFill="1" applyBorder="1" applyAlignment="1">
      <alignment horizontal="center" vertical="center" wrapText="1"/>
    </xf>
    <xf numFmtId="164" fontId="0" fillId="13" borderId="37" xfId="70" applyNumberFormat="1" applyFont="1" applyFill="1" applyBorder="1" applyAlignment="1">
      <alignment horizontal="center" vertical="center" wrapText="1"/>
    </xf>
    <xf numFmtId="164" fontId="0" fillId="13" borderId="10" xfId="70" applyFont="1" applyFill="1" applyBorder="1" applyAlignment="1">
      <alignment horizontal="center" vertical="center" wrapText="1"/>
    </xf>
    <xf numFmtId="164" fontId="0" fillId="13" borderId="24" xfId="70" applyNumberFormat="1" applyFont="1" applyFill="1" applyBorder="1" applyAlignment="1">
      <alignment horizontal="center" vertical="center" wrapText="1"/>
    </xf>
    <xf numFmtId="164" fontId="0" fillId="13" borderId="30" xfId="70" applyFont="1" applyFill="1" applyBorder="1" applyAlignment="1">
      <alignment horizontal="center" vertical="center" wrapText="1"/>
    </xf>
    <xf numFmtId="164" fontId="0" fillId="13" borderId="25" xfId="70" applyNumberFormat="1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/>
    </xf>
    <xf numFmtId="4" fontId="8" fillId="0" borderId="17" xfId="70" applyNumberFormat="1" applyFont="1" applyBorder="1" applyAlignment="1">
      <alignment horizontal="center" vertical="center"/>
    </xf>
    <xf numFmtId="4" fontId="8" fillId="0" borderId="11" xfId="70" applyNumberFormat="1" applyFont="1" applyBorder="1" applyAlignment="1">
      <alignment horizontal="center" vertical="center"/>
    </xf>
    <xf numFmtId="172" fontId="23" fillId="0" borderId="0" xfId="56" applyNumberFormat="1" applyFont="1" applyFill="1" applyAlignment="1">
      <alignment horizontal="right" vertical="center"/>
      <protection/>
    </xf>
    <xf numFmtId="168" fontId="18" fillId="0" borderId="22" xfId="70" applyNumberFormat="1" applyFont="1" applyBorder="1" applyAlignment="1">
      <alignment/>
    </xf>
    <xf numFmtId="172" fontId="13" fillId="0" borderId="22" xfId="56" applyNumberFormat="1" applyFont="1" applyFill="1" applyBorder="1" applyAlignment="1">
      <alignment horizontal="right" vertical="center"/>
      <protection/>
    </xf>
    <xf numFmtId="171" fontId="22" fillId="0" borderId="18" xfId="58" applyNumberFormat="1" applyFont="1" applyFill="1" applyBorder="1" applyAlignment="1">
      <alignment horizontal="right" vertical="center"/>
    </xf>
    <xf numFmtId="171" fontId="22" fillId="19" borderId="12" xfId="58" applyNumberFormat="1" applyFont="1" applyFill="1" applyBorder="1" applyAlignment="1">
      <alignment horizontal="right" vertical="center"/>
    </xf>
    <xf numFmtId="172" fontId="24" fillId="19" borderId="10" xfId="56" applyNumberFormat="1" applyFont="1" applyFill="1" applyBorder="1" applyAlignment="1">
      <alignment vertical="center"/>
      <protection/>
    </xf>
    <xf numFmtId="2" fontId="0" fillId="19" borderId="24" xfId="0" applyNumberFormat="1" applyFill="1" applyBorder="1" applyAlignment="1">
      <alignment/>
    </xf>
    <xf numFmtId="175" fontId="0" fillId="0" borderId="0" xfId="0" applyNumberFormat="1" applyAlignment="1">
      <alignment/>
    </xf>
    <xf numFmtId="0" fontId="9" fillId="37" borderId="0" xfId="0" applyFont="1" applyFill="1" applyAlignment="1" quotePrefix="1">
      <alignment/>
    </xf>
    <xf numFmtId="164" fontId="14" fillId="16" borderId="22" xfId="70" applyFont="1" applyFill="1" applyBorder="1" applyAlignment="1">
      <alignment/>
    </xf>
    <xf numFmtId="168" fontId="8" fillId="34" borderId="26" xfId="70" applyNumberFormat="1" applyFont="1" applyFill="1" applyBorder="1" applyAlignment="1">
      <alignment horizontal="center" vertical="center"/>
    </xf>
    <xf numFmtId="168" fontId="7" fillId="36" borderId="0" xfId="70" applyNumberFormat="1" applyFont="1" applyFill="1" applyBorder="1" applyAlignment="1">
      <alignment/>
    </xf>
    <xf numFmtId="168" fontId="7" fillId="36" borderId="25" xfId="70" applyNumberFormat="1" applyFont="1" applyFill="1" applyBorder="1" applyAlignment="1">
      <alignment/>
    </xf>
    <xf numFmtId="168" fontId="7" fillId="12" borderId="38" xfId="70" applyNumberFormat="1" applyFont="1" applyFill="1" applyBorder="1" applyAlignment="1">
      <alignment/>
    </xf>
    <xf numFmtId="168" fontId="7" fillId="36" borderId="39" xfId="70" applyNumberFormat="1" applyFont="1" applyFill="1" applyBorder="1" applyAlignment="1">
      <alignment/>
    </xf>
    <xf numFmtId="168" fontId="7" fillId="36" borderId="15" xfId="70" applyNumberFormat="1" applyFont="1" applyFill="1" applyBorder="1" applyAlignment="1">
      <alignment/>
    </xf>
    <xf numFmtId="168" fontId="7" fillId="36" borderId="29" xfId="70" applyNumberFormat="1" applyFont="1" applyFill="1" applyBorder="1" applyAlignment="1">
      <alignment/>
    </xf>
    <xf numFmtId="168" fontId="7" fillId="12" borderId="29" xfId="70" applyNumberFormat="1" applyFont="1" applyFill="1" applyBorder="1" applyAlignment="1">
      <alignment/>
    </xf>
    <xf numFmtId="166" fontId="7" fillId="36" borderId="40" xfId="70" applyNumberFormat="1" applyFont="1" applyFill="1" applyBorder="1" applyAlignment="1">
      <alignment/>
    </xf>
    <xf numFmtId="166" fontId="7" fillId="36" borderId="16" xfId="70" applyNumberFormat="1" applyFont="1" applyFill="1" applyBorder="1" applyAlignment="1">
      <alignment/>
    </xf>
    <xf numFmtId="166" fontId="7" fillId="36" borderId="38" xfId="70" applyNumberFormat="1" applyFont="1" applyFill="1" applyBorder="1" applyAlignment="1">
      <alignment/>
    </xf>
    <xf numFmtId="168" fontId="8" fillId="12" borderId="33" xfId="70" applyNumberFormat="1" applyFont="1" applyFill="1" applyBorder="1" applyAlignment="1">
      <alignment/>
    </xf>
    <xf numFmtId="166" fontId="8" fillId="12" borderId="30" xfId="70" applyNumberFormat="1" applyFont="1" applyFill="1" applyBorder="1" applyAlignment="1">
      <alignment/>
    </xf>
    <xf numFmtId="168" fontId="8" fillId="12" borderId="41" xfId="70" applyNumberFormat="1" applyFont="1" applyFill="1" applyBorder="1" applyAlignment="1">
      <alignment/>
    </xf>
    <xf numFmtId="0" fontId="8" fillId="12" borderId="33" xfId="0" applyFont="1" applyFill="1" applyBorder="1" applyAlignment="1">
      <alignment vertical="center"/>
    </xf>
    <xf numFmtId="166" fontId="8" fillId="12" borderId="26" xfId="70" applyNumberFormat="1" applyFont="1" applyFill="1" applyBorder="1" applyAlignment="1">
      <alignment horizontal="center" vertical="center"/>
    </xf>
    <xf numFmtId="166" fontId="8" fillId="12" borderId="26" xfId="0" applyNumberFormat="1" applyFont="1" applyFill="1" applyBorder="1" applyAlignment="1">
      <alignment horizontal="center" vertical="center"/>
    </xf>
    <xf numFmtId="166" fontId="8" fillId="12" borderId="33" xfId="70" applyNumberFormat="1" applyFont="1" applyFill="1" applyBorder="1" applyAlignment="1">
      <alignment horizontal="center" vertical="center"/>
    </xf>
    <xf numFmtId="166" fontId="8" fillId="12" borderId="34" xfId="0" applyNumberFormat="1" applyFont="1" applyFill="1" applyBorder="1" applyAlignment="1">
      <alignment horizontal="center" vertical="center"/>
    </xf>
    <xf numFmtId="168" fontId="8" fillId="12" borderId="26" xfId="70" applyNumberFormat="1" applyFont="1" applyFill="1" applyBorder="1" applyAlignment="1">
      <alignment/>
    </xf>
    <xf numFmtId="168" fontId="8" fillId="12" borderId="30" xfId="7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168" fontId="8" fillId="34" borderId="10" xfId="7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34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8" fillId="0" borderId="0" xfId="7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8" fontId="8" fillId="34" borderId="12" xfId="7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169" fontId="37" fillId="44" borderId="0" xfId="0" applyNumberFormat="1" applyFont="1" applyFill="1" applyBorder="1" applyAlignment="1">
      <alignment horizontal="left"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8" fillId="16" borderId="0" xfId="53" applyFont="1" applyFill="1" applyBorder="1" applyAlignment="1">
      <alignment horizontal="center"/>
      <protection/>
    </xf>
    <xf numFmtId="17" fontId="18" fillId="12" borderId="26" xfId="0" applyNumberFormat="1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17" fontId="18" fillId="12" borderId="33" xfId="0" applyNumberFormat="1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/>
    </xf>
    <xf numFmtId="0" fontId="18" fillId="12" borderId="25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/>
    </xf>
    <xf numFmtId="0" fontId="17" fillId="16" borderId="22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6" fillId="16" borderId="22" xfId="0" applyFont="1" applyFill="1" applyBorder="1" applyAlignment="1">
      <alignment/>
    </xf>
    <xf numFmtId="0" fontId="2" fillId="16" borderId="23" xfId="0" applyFont="1" applyFill="1" applyBorder="1" applyAlignment="1">
      <alignment/>
    </xf>
    <xf numFmtId="0" fontId="8" fillId="16" borderId="22" xfId="0" applyFont="1" applyFill="1" applyBorder="1" applyAlignment="1">
      <alignment horizontal="center"/>
    </xf>
    <xf numFmtId="0" fontId="30" fillId="16" borderId="22" xfId="0" applyFont="1" applyFill="1" applyBorder="1" applyAlignment="1">
      <alignment horizontal="center" vertical="center"/>
    </xf>
    <xf numFmtId="0" fontId="30" fillId="16" borderId="22" xfId="54" applyFont="1" applyFill="1" applyBorder="1" applyAlignment="1">
      <alignment horizontal="center" vertical="center"/>
      <protection/>
    </xf>
    <xf numFmtId="0" fontId="0" fillId="16" borderId="22" xfId="52" applyFont="1" applyFill="1" applyBorder="1" applyAlignment="1">
      <alignment horizontal="center"/>
      <protection/>
    </xf>
    <xf numFmtId="0" fontId="25" fillId="16" borderId="22" xfId="44" applyFont="1" applyFill="1" applyBorder="1" applyAlignment="1" applyProtection="1">
      <alignment horizontal="center"/>
      <protection/>
    </xf>
    <xf numFmtId="0" fontId="9" fillId="16" borderId="16" xfId="0" applyFont="1" applyFill="1" applyBorder="1" applyAlignment="1">
      <alignment/>
    </xf>
    <xf numFmtId="0" fontId="9" fillId="16" borderId="15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0" fillId="12" borderId="39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center"/>
    </xf>
    <xf numFmtId="0" fontId="0" fillId="12" borderId="29" xfId="0" applyFont="1" applyFill="1" applyBorder="1" applyAlignment="1">
      <alignment horizontal="center"/>
    </xf>
    <xf numFmtId="0" fontId="0" fillId="12" borderId="35" xfId="0" applyFont="1" applyFill="1" applyBorder="1" applyAlignment="1">
      <alignment horizontal="center"/>
    </xf>
    <xf numFmtId="0" fontId="0" fillId="12" borderId="42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12" borderId="36" xfId="0" applyFont="1" applyFill="1" applyBorder="1" applyAlignment="1">
      <alignment horizontal="center"/>
    </xf>
    <xf numFmtId="0" fontId="0" fillId="12" borderId="38" xfId="0" applyFont="1" applyFill="1" applyBorder="1" applyAlignment="1">
      <alignment horizontal="center"/>
    </xf>
    <xf numFmtId="0" fontId="17" fillId="16" borderId="16" xfId="0" applyFont="1" applyFill="1" applyBorder="1" applyAlignment="1">
      <alignment/>
    </xf>
    <xf numFmtId="49" fontId="22" fillId="0" borderId="0" xfId="56" applyNumberFormat="1" applyFont="1" applyFill="1" applyBorder="1" applyAlignment="1">
      <alignment horizontal="left" vertical="center" indent="1"/>
      <protection/>
    </xf>
    <xf numFmtId="2" fontId="0" fillId="0" borderId="0" xfId="0" applyNumberFormat="1" applyBorder="1" applyAlignment="1">
      <alignment/>
    </xf>
    <xf numFmtId="49" fontId="23" fillId="0" borderId="0" xfId="56" applyNumberFormat="1" applyFont="1" applyFill="1" applyBorder="1" applyAlignment="1">
      <alignment horizontal="left" vertical="center" indent="1"/>
      <protection/>
    </xf>
    <xf numFmtId="2" fontId="8" fillId="0" borderId="0" xfId="0" applyNumberFormat="1" applyFont="1" applyBorder="1" applyAlignment="1">
      <alignment/>
    </xf>
    <xf numFmtId="0" fontId="4" fillId="16" borderId="16" xfId="0" applyFont="1" applyFill="1" applyBorder="1" applyAlignment="1">
      <alignment vertical="center"/>
    </xf>
    <xf numFmtId="49" fontId="23" fillId="0" borderId="15" xfId="56" applyNumberFormat="1" applyFont="1" applyFill="1" applyBorder="1" applyAlignment="1">
      <alignment vertical="center"/>
      <protection/>
    </xf>
    <xf numFmtId="0" fontId="0" fillId="16" borderId="21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16" borderId="17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right"/>
    </xf>
    <xf numFmtId="0" fontId="0" fillId="16" borderId="17" xfId="0" applyFont="1" applyFill="1" applyBorder="1" applyAlignment="1">
      <alignment horizontal="right"/>
    </xf>
    <xf numFmtId="0" fontId="0" fillId="16" borderId="19" xfId="0" applyFont="1" applyFill="1" applyBorder="1" applyAlignment="1">
      <alignment horizontal="right"/>
    </xf>
    <xf numFmtId="168" fontId="0" fillId="16" borderId="0" xfId="70" applyNumberFormat="1" applyFont="1" applyFill="1" applyBorder="1" applyAlignment="1">
      <alignment horizontal="right"/>
    </xf>
    <xf numFmtId="168" fontId="0" fillId="16" borderId="19" xfId="70" applyNumberFormat="1" applyFont="1" applyFill="1" applyBorder="1" applyAlignment="1">
      <alignment horizontal="right"/>
    </xf>
    <xf numFmtId="168" fontId="0" fillId="16" borderId="11" xfId="70" applyNumberFormat="1" applyFont="1" applyFill="1" applyBorder="1" applyAlignment="1">
      <alignment horizontal="right"/>
    </xf>
    <xf numFmtId="168" fontId="0" fillId="16" borderId="24" xfId="70" applyNumberFormat="1" applyFont="1" applyFill="1" applyBorder="1" applyAlignment="1">
      <alignment horizontal="right"/>
    </xf>
    <xf numFmtId="168" fontId="0" fillId="16" borderId="24" xfId="70" applyNumberFormat="1" applyFont="1" applyFill="1" applyBorder="1" applyAlignment="1">
      <alignment horizontal="center"/>
    </xf>
    <xf numFmtId="168" fontId="0" fillId="16" borderId="21" xfId="70" applyNumberFormat="1" applyFont="1" applyFill="1" applyBorder="1" applyAlignment="1">
      <alignment horizontal="right"/>
    </xf>
    <xf numFmtId="168" fontId="0" fillId="16" borderId="20" xfId="70" applyNumberFormat="1" applyFont="1" applyFill="1" applyBorder="1" applyAlignment="1">
      <alignment horizontal="center"/>
    </xf>
    <xf numFmtId="168" fontId="0" fillId="16" borderId="17" xfId="70" applyNumberFormat="1" applyFont="1" applyFill="1" applyBorder="1" applyAlignment="1">
      <alignment horizontal="right"/>
    </xf>
    <xf numFmtId="168" fontId="0" fillId="16" borderId="18" xfId="70" applyNumberFormat="1" applyFont="1" applyFill="1" applyBorder="1" applyAlignment="1">
      <alignment horizontal="center"/>
    </xf>
    <xf numFmtId="168" fontId="0" fillId="16" borderId="12" xfId="70" applyNumberFormat="1" applyFont="1" applyFill="1" applyBorder="1" applyAlignment="1">
      <alignment horizontal="center"/>
    </xf>
    <xf numFmtId="0" fontId="12" fillId="16" borderId="0" xfId="0" applyFont="1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27" fillId="16" borderId="16" xfId="0" applyFont="1" applyFill="1" applyBorder="1" applyAlignment="1">
      <alignment horizontal="centerContinuous"/>
    </xf>
    <xf numFmtId="0" fontId="5" fillId="16" borderId="0" xfId="0" applyFont="1" applyFill="1" applyBorder="1" applyAlignment="1">
      <alignment horizontal="centerContinuous"/>
    </xf>
    <xf numFmtId="0" fontId="28" fillId="16" borderId="0" xfId="0" applyFont="1" applyFill="1" applyBorder="1" applyAlignment="1">
      <alignment horizontal="centerContinuous"/>
    </xf>
    <xf numFmtId="0" fontId="5" fillId="16" borderId="15" xfId="0" applyFont="1" applyFill="1" applyBorder="1" applyAlignment="1">
      <alignment horizontal="centerContinuous"/>
    </xf>
    <xf numFmtId="0" fontId="0" fillId="16" borderId="13" xfId="0" applyFont="1" applyFill="1" applyBorder="1" applyAlignment="1">
      <alignment horizontal="centerContinuous"/>
    </xf>
    <xf numFmtId="0" fontId="0" fillId="16" borderId="17" xfId="0" applyFont="1" applyFill="1" applyBorder="1" applyAlignment="1">
      <alignment horizontal="centerContinuous"/>
    </xf>
    <xf numFmtId="0" fontId="0" fillId="16" borderId="18" xfId="0" applyFont="1" applyFill="1" applyBorder="1" applyAlignment="1">
      <alignment horizontal="center"/>
    </xf>
    <xf numFmtId="168" fontId="0" fillId="16" borderId="0" xfId="70" applyNumberFormat="1" applyFont="1" applyFill="1" applyBorder="1" applyAlignment="1">
      <alignment/>
    </xf>
    <xf numFmtId="168" fontId="0" fillId="16" borderId="15" xfId="70" applyNumberFormat="1" applyFont="1" applyFill="1" applyBorder="1" applyAlignment="1">
      <alignment horizontal="right"/>
    </xf>
    <xf numFmtId="168" fontId="0" fillId="16" borderId="18" xfId="70" applyNumberFormat="1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168" fontId="0" fillId="16" borderId="15" xfId="70" applyNumberFormat="1" applyFont="1" applyFill="1" applyBorder="1" applyAlignment="1">
      <alignment/>
    </xf>
    <xf numFmtId="168" fontId="0" fillId="16" borderId="18" xfId="70" applyNumberFormat="1" applyFont="1" applyFill="1" applyBorder="1" applyAlignment="1">
      <alignment/>
    </xf>
    <xf numFmtId="0" fontId="12" fillId="16" borderId="16" xfId="0" applyFont="1" applyFill="1" applyBorder="1" applyAlignment="1">
      <alignment/>
    </xf>
    <xf numFmtId="0" fontId="20" fillId="16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16" borderId="18" xfId="0" applyFont="1" applyFill="1" applyBorder="1" applyAlignment="1">
      <alignment/>
    </xf>
    <xf numFmtId="168" fontId="0" fillId="16" borderId="15" xfId="70" applyNumberFormat="1" applyFont="1" applyFill="1" applyBorder="1" applyAlignment="1">
      <alignment horizontal="center"/>
    </xf>
    <xf numFmtId="168" fontId="0" fillId="16" borderId="20" xfId="70" applyNumberFormat="1" applyFont="1" applyFill="1" applyBorder="1" applyAlignment="1">
      <alignment horizontal="right"/>
    </xf>
    <xf numFmtId="168" fontId="0" fillId="16" borderId="0" xfId="70" applyNumberFormat="1" applyFont="1" applyFill="1" applyAlignment="1">
      <alignment horizontal="right"/>
    </xf>
    <xf numFmtId="168" fontId="0" fillId="16" borderId="0" xfId="70" applyNumberFormat="1" applyFont="1" applyFill="1" applyAlignment="1">
      <alignment/>
    </xf>
    <xf numFmtId="168" fontId="0" fillId="16" borderId="0" xfId="70" applyNumberFormat="1" applyFont="1" applyFill="1" applyAlignment="1">
      <alignment/>
    </xf>
    <xf numFmtId="168" fontId="0" fillId="16" borderId="19" xfId="70" applyNumberFormat="1" applyFont="1" applyFill="1" applyBorder="1" applyAlignment="1">
      <alignment horizontal="center"/>
    </xf>
    <xf numFmtId="168" fontId="0" fillId="16" borderId="12" xfId="70" applyNumberFormat="1" applyFont="1" applyFill="1" applyBorder="1" applyAlignment="1">
      <alignment horizontal="right"/>
    </xf>
    <xf numFmtId="168" fontId="5" fillId="16" borderId="0" xfId="70" applyNumberFormat="1" applyFont="1" applyFill="1" applyAlignment="1">
      <alignment/>
    </xf>
    <xf numFmtId="168" fontId="5" fillId="16" borderId="15" xfId="70" applyNumberFormat="1" applyFont="1" applyFill="1" applyBorder="1" applyAlignment="1">
      <alignment/>
    </xf>
    <xf numFmtId="0" fontId="8" fillId="12" borderId="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18" fillId="16" borderId="0" xfId="53" applyFont="1" applyFill="1" applyBorder="1">
      <alignment/>
      <protection/>
    </xf>
    <xf numFmtId="16" fontId="15" fillId="16" borderId="15" xfId="0" applyNumberFormat="1" applyFont="1" applyFill="1" applyBorder="1" applyAlignment="1">
      <alignment horizontal="center"/>
    </xf>
    <xf numFmtId="16" fontId="15" fillId="16" borderId="22" xfId="0" applyNumberFormat="1" applyFont="1" applyFill="1" applyBorder="1" applyAlignment="1">
      <alignment horizontal="center"/>
    </xf>
    <xf numFmtId="168" fontId="0" fillId="0" borderId="23" xfId="70" applyNumberFormat="1" applyFont="1" applyBorder="1" applyAlignment="1">
      <alignment horizontal="center" vertical="center"/>
    </xf>
    <xf numFmtId="1" fontId="8" fillId="43" borderId="11" xfId="0" applyNumberFormat="1" applyFont="1" applyFill="1" applyBorder="1" applyAlignment="1">
      <alignment horizontal="center" vertical="center"/>
    </xf>
    <xf numFmtId="168" fontId="0" fillId="0" borderId="11" xfId="70" applyNumberFormat="1" applyFont="1" applyBorder="1" applyAlignment="1">
      <alignment horizontal="right" vertical="center"/>
    </xf>
    <xf numFmtId="168" fontId="0" fillId="36" borderId="10" xfId="70" applyNumberFormat="1" applyFont="1" applyFill="1" applyBorder="1" applyAlignment="1">
      <alignment horizontal="right" vertical="center"/>
    </xf>
    <xf numFmtId="168" fontId="0" fillId="36" borderId="11" xfId="70" applyNumberFormat="1" applyFont="1" applyFill="1" applyBorder="1" applyAlignment="1">
      <alignment horizontal="right" vertical="center"/>
    </xf>
    <xf numFmtId="168" fontId="0" fillId="0" borderId="23" xfId="70" applyNumberFormat="1" applyFont="1" applyBorder="1" applyAlignment="1">
      <alignment horizontal="right" vertical="center"/>
    </xf>
    <xf numFmtId="168" fontId="0" fillId="0" borderId="17" xfId="70" applyNumberFormat="1" applyFont="1" applyBorder="1" applyAlignment="1">
      <alignment horizontal="right" vertical="center"/>
    </xf>
    <xf numFmtId="168" fontId="8" fillId="19" borderId="26" xfId="70" applyNumberFormat="1" applyFont="1" applyFill="1" applyBorder="1" applyAlignment="1">
      <alignment horizontal="right" vertical="center"/>
    </xf>
    <xf numFmtId="168" fontId="8" fillId="19" borderId="34" xfId="70" applyNumberFormat="1" applyFont="1" applyFill="1" applyBorder="1" applyAlignment="1">
      <alignment horizontal="right" vertical="center"/>
    </xf>
    <xf numFmtId="0" fontId="12" fillId="16" borderId="19" xfId="0" applyFont="1" applyFill="1" applyBorder="1" applyAlignment="1">
      <alignment/>
    </xf>
    <xf numFmtId="49" fontId="24" fillId="16" borderId="19" xfId="56" applyNumberFormat="1" applyFont="1" applyFill="1" applyBorder="1" applyAlignment="1">
      <alignment horizontal="left" vertical="center" indent="1"/>
      <protection/>
    </xf>
    <xf numFmtId="171" fontId="22" fillId="16" borderId="19" xfId="58" applyNumberFormat="1" applyFont="1" applyFill="1" applyBorder="1" applyAlignment="1">
      <alignment horizontal="right" vertical="center"/>
    </xf>
    <xf numFmtId="2" fontId="0" fillId="16" borderId="19" xfId="0" applyNumberFormat="1" applyFill="1" applyBorder="1" applyAlignment="1">
      <alignment/>
    </xf>
    <xf numFmtId="0" fontId="29" fillId="0" borderId="24" xfId="51" applyFont="1" applyBorder="1" applyAlignment="1">
      <alignment horizontal="left" vertical="center"/>
      <protection/>
    </xf>
    <xf numFmtId="176" fontId="8" fillId="0" borderId="11" xfId="70" applyNumberFormat="1" applyFont="1" applyFill="1" applyBorder="1" applyAlignment="1" applyProtection="1">
      <alignment horizontal="center" vertical="center"/>
      <protection/>
    </xf>
    <xf numFmtId="176" fontId="0" fillId="0" borderId="43" xfId="70" applyNumberFormat="1" applyFont="1" applyFill="1" applyBorder="1" applyAlignment="1" applyProtection="1">
      <alignment vertical="center"/>
      <protection/>
    </xf>
    <xf numFmtId="176" fontId="0" fillId="0" borderId="44" xfId="70" applyNumberFormat="1" applyFont="1" applyFill="1" applyBorder="1" applyAlignment="1" applyProtection="1">
      <alignment vertical="center"/>
      <protection locked="0"/>
    </xf>
    <xf numFmtId="176" fontId="30" fillId="0" borderId="44" xfId="71" applyNumberFormat="1" applyFont="1" applyFill="1" applyBorder="1" applyAlignment="1" applyProtection="1">
      <alignment vertical="center"/>
      <protection/>
    </xf>
    <xf numFmtId="176" fontId="30" fillId="0" borderId="45" xfId="71" applyNumberFormat="1" applyFont="1" applyFill="1" applyBorder="1" applyAlignment="1" applyProtection="1">
      <alignment vertical="center"/>
      <protection/>
    </xf>
    <xf numFmtId="176" fontId="0" fillId="0" borderId="46" xfId="70" applyNumberFormat="1" applyFont="1" applyBorder="1" applyAlignment="1">
      <alignment horizontal="right" vertical="center"/>
    </xf>
    <xf numFmtId="4" fontId="0" fillId="0" borderId="47" xfId="70" applyNumberFormat="1" applyFont="1" applyBorder="1" applyAlignment="1">
      <alignment horizontal="center" vertical="center"/>
    </xf>
    <xf numFmtId="176" fontId="0" fillId="0" borderId="48" xfId="70" applyNumberFormat="1" applyFont="1" applyFill="1" applyBorder="1" applyAlignment="1" applyProtection="1">
      <alignment vertical="center"/>
      <protection/>
    </xf>
    <xf numFmtId="176" fontId="0" fillId="0" borderId="49" xfId="70" applyNumberFormat="1" applyFont="1" applyFill="1" applyBorder="1" applyAlignment="1" applyProtection="1">
      <alignment vertical="center"/>
      <protection locked="0"/>
    </xf>
    <xf numFmtId="176" fontId="30" fillId="0" borderId="49" xfId="71" applyNumberFormat="1" applyFont="1" applyFill="1" applyBorder="1" applyAlignment="1" applyProtection="1">
      <alignment vertical="center"/>
      <protection/>
    </xf>
    <xf numFmtId="176" fontId="30" fillId="0" borderId="0" xfId="71" applyNumberFormat="1" applyFont="1" applyFill="1" applyBorder="1" applyAlignment="1" applyProtection="1">
      <alignment vertical="center"/>
      <protection/>
    </xf>
    <xf numFmtId="176" fontId="0" fillId="0" borderId="23" xfId="70" applyNumberFormat="1" applyFont="1" applyBorder="1" applyAlignment="1">
      <alignment horizontal="right" vertical="center"/>
    </xf>
    <xf numFmtId="4" fontId="0" fillId="0" borderId="17" xfId="70" applyNumberFormat="1" applyFont="1" applyBorder="1" applyAlignment="1">
      <alignment horizontal="center" vertical="center"/>
    </xf>
    <xf numFmtId="176" fontId="0" fillId="0" borderId="50" xfId="70" applyNumberFormat="1" applyFont="1" applyFill="1" applyBorder="1" applyAlignment="1" applyProtection="1">
      <alignment vertical="center"/>
      <protection/>
    </xf>
    <xf numFmtId="176" fontId="0" fillId="0" borderId="51" xfId="70" applyNumberFormat="1" applyFont="1" applyFill="1" applyBorder="1" applyAlignment="1" applyProtection="1">
      <alignment vertical="center"/>
      <protection locked="0"/>
    </xf>
    <xf numFmtId="176" fontId="30" fillId="0" borderId="51" xfId="71" applyNumberFormat="1" applyFont="1" applyFill="1" applyBorder="1" applyAlignment="1" applyProtection="1">
      <alignment vertical="center"/>
      <protection/>
    </xf>
    <xf numFmtId="176" fontId="30" fillId="0" borderId="52" xfId="71" applyNumberFormat="1" applyFont="1" applyFill="1" applyBorder="1" applyAlignment="1" applyProtection="1">
      <alignment vertical="center"/>
      <protection/>
    </xf>
    <xf numFmtId="176" fontId="0" fillId="0" borderId="53" xfId="70" applyNumberFormat="1" applyFont="1" applyBorder="1" applyAlignment="1">
      <alignment horizontal="right" vertical="center"/>
    </xf>
    <xf numFmtId="4" fontId="0" fillId="0" borderId="54" xfId="70" applyNumberFormat="1" applyFont="1" applyBorder="1" applyAlignment="1">
      <alignment horizontal="center" vertical="center"/>
    </xf>
    <xf numFmtId="176" fontId="0" fillId="0" borderId="55" xfId="70" applyNumberFormat="1" applyFont="1" applyBorder="1" applyAlignment="1">
      <alignment horizontal="right" vertical="center"/>
    </xf>
    <xf numFmtId="4" fontId="0" fillId="0" borderId="56" xfId="70" applyNumberFormat="1" applyFont="1" applyBorder="1" applyAlignment="1">
      <alignment horizontal="center" vertical="center"/>
    </xf>
    <xf numFmtId="176" fontId="30" fillId="0" borderId="57" xfId="71" applyNumberFormat="1" applyFont="1" applyFill="1" applyBorder="1" applyAlignment="1" applyProtection="1">
      <alignment vertical="center"/>
      <protection/>
    </xf>
    <xf numFmtId="176" fontId="30" fillId="0" borderId="58" xfId="71" applyNumberFormat="1" applyFont="1" applyFill="1" applyBorder="1" applyAlignment="1" applyProtection="1">
      <alignment vertical="center"/>
      <protection/>
    </xf>
    <xf numFmtId="176" fontId="29" fillId="0" borderId="57" xfId="71" applyNumberFormat="1" applyFont="1" applyFill="1" applyBorder="1" applyAlignment="1" applyProtection="1">
      <alignment vertical="center"/>
      <protection/>
    </xf>
    <xf numFmtId="176" fontId="29" fillId="0" borderId="58" xfId="71" applyNumberFormat="1" applyFont="1" applyFill="1" applyBorder="1" applyAlignment="1" applyProtection="1">
      <alignment vertical="center"/>
      <protection/>
    </xf>
    <xf numFmtId="176" fontId="0" fillId="0" borderId="54" xfId="70" applyNumberFormat="1" applyFont="1" applyBorder="1" applyAlignment="1">
      <alignment horizontal="right" vertical="center"/>
    </xf>
    <xf numFmtId="176" fontId="29" fillId="0" borderId="52" xfId="71" applyNumberFormat="1" applyFont="1" applyFill="1" applyBorder="1" applyAlignment="1" applyProtection="1">
      <alignment vertical="center"/>
      <protection/>
    </xf>
    <xf numFmtId="176" fontId="0" fillId="0" borderId="59" xfId="70" applyNumberFormat="1" applyFont="1" applyFill="1" applyBorder="1" applyAlignment="1" applyProtection="1">
      <alignment vertical="center"/>
      <protection locked="0"/>
    </xf>
    <xf numFmtId="176" fontId="0" fillId="0" borderId="60" xfId="70" applyNumberFormat="1" applyFont="1" applyFill="1" applyBorder="1" applyAlignment="1" applyProtection="1">
      <alignment vertical="center"/>
      <protection/>
    </xf>
    <xf numFmtId="176" fontId="0" fillId="0" borderId="30" xfId="70" applyNumberFormat="1" applyFont="1" applyFill="1" applyBorder="1" applyAlignment="1" applyProtection="1">
      <alignment vertical="center"/>
      <protection locked="0"/>
    </xf>
    <xf numFmtId="176" fontId="30" fillId="0" borderId="30" xfId="71" applyNumberFormat="1" applyFont="1" applyFill="1" applyBorder="1" applyAlignment="1" applyProtection="1">
      <alignment vertical="center"/>
      <protection/>
    </xf>
    <xf numFmtId="176" fontId="29" fillId="0" borderId="25" xfId="71" applyNumberFormat="1" applyFont="1" applyFill="1" applyBorder="1" applyAlignment="1" applyProtection="1">
      <alignment vertical="center"/>
      <protection/>
    </xf>
    <xf numFmtId="176" fontId="0" fillId="0" borderId="35" xfId="70" applyNumberFormat="1" applyFont="1" applyBorder="1" applyAlignment="1">
      <alignment horizontal="right" vertical="center"/>
    </xf>
    <xf numFmtId="4" fontId="0" fillId="0" borderId="31" xfId="70" applyNumberFormat="1" applyFont="1" applyBorder="1" applyAlignment="1">
      <alignment horizontal="center" vertical="center"/>
    </xf>
    <xf numFmtId="0" fontId="29" fillId="0" borderId="41" xfId="51" applyFont="1" applyBorder="1" applyAlignment="1">
      <alignment horizontal="left" vertical="center"/>
      <protection/>
    </xf>
    <xf numFmtId="176" fontId="8" fillId="0" borderId="34" xfId="70" applyNumberFormat="1" applyFont="1" applyFill="1" applyBorder="1" applyAlignment="1" applyProtection="1">
      <alignment horizontal="center" vertical="center"/>
      <protection/>
    </xf>
    <xf numFmtId="176" fontId="8" fillId="0" borderId="26" xfId="70" applyNumberFormat="1" applyFont="1" applyFill="1" applyBorder="1" applyAlignment="1" applyProtection="1">
      <alignment vertical="center"/>
      <protection locked="0"/>
    </xf>
    <xf numFmtId="176" fontId="29" fillId="0" borderId="26" xfId="71" applyNumberFormat="1" applyFont="1" applyFill="1" applyBorder="1" applyAlignment="1" applyProtection="1">
      <alignment vertical="center"/>
      <protection/>
    </xf>
    <xf numFmtId="176" fontId="29" fillId="0" borderId="41" xfId="71" applyNumberFormat="1" applyFont="1" applyFill="1" applyBorder="1" applyAlignment="1" applyProtection="1">
      <alignment vertical="center"/>
      <protection/>
    </xf>
    <xf numFmtId="176" fontId="29" fillId="0" borderId="61" xfId="71" applyNumberFormat="1" applyFont="1" applyFill="1" applyBorder="1" applyAlignment="1" applyProtection="1">
      <alignment vertical="center"/>
      <protection/>
    </xf>
    <xf numFmtId="4" fontId="8" fillId="0" borderId="34" xfId="70" applyNumberFormat="1" applyFont="1" applyBorder="1" applyAlignment="1">
      <alignment horizontal="center" vertical="center"/>
    </xf>
    <xf numFmtId="176" fontId="8" fillId="0" borderId="38" xfId="70" applyNumberFormat="1" applyFont="1" applyFill="1" applyBorder="1" applyAlignment="1" applyProtection="1">
      <alignment horizontal="center" vertical="center"/>
      <protection/>
    </xf>
    <xf numFmtId="0" fontId="30" fillId="0" borderId="52" xfId="51" applyFont="1" applyBorder="1" applyAlignment="1">
      <alignment horizontal="left" vertical="center" wrapText="1"/>
      <protection/>
    </xf>
    <xf numFmtId="167" fontId="13" fillId="0" borderId="62" xfId="70" applyNumberFormat="1" applyFont="1" applyFill="1" applyBorder="1" applyAlignment="1" applyProtection="1">
      <alignment horizontal="left" vertical="center" wrapText="1"/>
      <protection/>
    </xf>
    <xf numFmtId="167" fontId="13" fillId="0" borderId="62" xfId="70" applyNumberFormat="1" applyFont="1" applyFill="1" applyBorder="1" applyAlignment="1" applyProtection="1">
      <alignment horizontal="left" vertical="center"/>
      <protection/>
    </xf>
    <xf numFmtId="0" fontId="29" fillId="0" borderId="25" xfId="51" applyFont="1" applyBorder="1" applyAlignment="1">
      <alignment horizontal="left" vertical="center"/>
      <protection/>
    </xf>
    <xf numFmtId="0" fontId="29" fillId="0" borderId="19" xfId="51" applyFont="1" applyBorder="1" applyAlignment="1">
      <alignment horizontal="left" vertical="center"/>
      <protection/>
    </xf>
    <xf numFmtId="0" fontId="30" fillId="0" borderId="58" xfId="51" applyFont="1" applyBorder="1" applyAlignment="1">
      <alignment horizontal="right" vertical="center"/>
      <protection/>
    </xf>
    <xf numFmtId="0" fontId="30" fillId="0" borderId="57" xfId="51" applyFont="1" applyBorder="1" applyAlignment="1">
      <alignment horizontal="right" vertical="center" wrapText="1"/>
      <protection/>
    </xf>
    <xf numFmtId="0" fontId="30" fillId="0" borderId="58" xfId="5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0" fillId="0" borderId="63" xfId="51" applyFont="1" applyBorder="1" applyAlignment="1">
      <alignment horizontal="left" vertical="center" wrapText="1"/>
      <protection/>
    </xf>
    <xf numFmtId="167" fontId="0" fillId="0" borderId="52" xfId="70" applyNumberFormat="1" applyFont="1" applyFill="1" applyBorder="1" applyAlignment="1" applyProtection="1">
      <alignment horizontal="right" vertical="center"/>
      <protection/>
    </xf>
    <xf numFmtId="176" fontId="0" fillId="0" borderId="58" xfId="70" applyNumberFormat="1" applyFont="1" applyFill="1" applyBorder="1" applyAlignment="1" applyProtection="1">
      <alignment vertical="center"/>
      <protection/>
    </xf>
    <xf numFmtId="167" fontId="0" fillId="0" borderId="64" xfId="70" applyNumberFormat="1" applyFont="1" applyFill="1" applyBorder="1" applyAlignment="1" applyProtection="1">
      <alignment horizontal="left" vertical="center"/>
      <protection/>
    </xf>
    <xf numFmtId="0" fontId="30" fillId="0" borderId="42" xfId="51" applyFont="1" applyBorder="1" applyAlignment="1">
      <alignment horizontal="right" vertical="center" wrapText="1"/>
      <protection/>
    </xf>
    <xf numFmtId="0" fontId="0" fillId="0" borderId="6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52" xfId="70" applyNumberFormat="1" applyFont="1" applyFill="1" applyBorder="1" applyAlignment="1" applyProtection="1">
      <alignment vertical="center"/>
      <protection/>
    </xf>
    <xf numFmtId="176" fontId="0" fillId="0" borderId="57" xfId="70" applyNumberFormat="1" applyFont="1" applyFill="1" applyBorder="1" applyAlignment="1" applyProtection="1">
      <alignment vertical="center"/>
      <protection/>
    </xf>
    <xf numFmtId="167" fontId="0" fillId="0" borderId="66" xfId="70" applyNumberFormat="1" applyFont="1" applyFill="1" applyBorder="1" applyAlignment="1" applyProtection="1">
      <alignment horizontal="left" vertical="center"/>
      <protection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176" fontId="29" fillId="0" borderId="30" xfId="71" applyNumberFormat="1" applyFont="1" applyFill="1" applyBorder="1" applyAlignment="1" applyProtection="1">
      <alignment vertical="center"/>
      <protection/>
    </xf>
    <xf numFmtId="4" fontId="8" fillId="0" borderId="38" xfId="70" applyNumberFormat="1" applyFont="1" applyBorder="1" applyAlignment="1">
      <alignment horizontal="center" vertical="center"/>
    </xf>
    <xf numFmtId="176" fontId="8" fillId="0" borderId="17" xfId="7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 vertical="center"/>
    </xf>
    <xf numFmtId="0" fontId="4" fillId="16" borderId="25" xfId="0" applyFont="1" applyFill="1" applyBorder="1" applyAlignment="1">
      <alignment/>
    </xf>
    <xf numFmtId="0" fontId="0" fillId="16" borderId="0" xfId="0" applyFont="1" applyFill="1" applyAlignment="1">
      <alignment vertical="center"/>
    </xf>
    <xf numFmtId="168" fontId="0" fillId="16" borderId="0" xfId="0" applyNumberFormat="1" applyFont="1" applyFill="1" applyAlignment="1">
      <alignment vertical="center"/>
    </xf>
    <xf numFmtId="0" fontId="8" fillId="12" borderId="70" xfId="0" applyFont="1" applyFill="1" applyBorder="1" applyAlignment="1">
      <alignment horizontal="left" vertical="center"/>
    </xf>
    <xf numFmtId="0" fontId="8" fillId="12" borderId="70" xfId="0" applyFont="1" applyFill="1" applyBorder="1" applyAlignment="1">
      <alignment horizontal="center" vertical="center"/>
    </xf>
    <xf numFmtId="176" fontId="8" fillId="12" borderId="60" xfId="70" applyNumberFormat="1" applyFont="1" applyFill="1" applyBorder="1" applyAlignment="1" applyProtection="1">
      <alignment horizontal="center" vertical="center"/>
      <protection/>
    </xf>
    <xf numFmtId="176" fontId="8" fillId="12" borderId="38" xfId="70" applyNumberFormat="1" applyFont="1" applyFill="1" applyBorder="1" applyAlignment="1" applyProtection="1">
      <alignment horizontal="center" vertical="center"/>
      <protection/>
    </xf>
    <xf numFmtId="4" fontId="8" fillId="12" borderId="34" xfId="70" applyNumberFormat="1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/>
    </xf>
    <xf numFmtId="0" fontId="36" fillId="16" borderId="16" xfId="52" applyFont="1" applyFill="1" applyBorder="1" applyAlignment="1">
      <alignment horizontal="center" vertical="center"/>
      <protection/>
    </xf>
    <xf numFmtId="0" fontId="30" fillId="16" borderId="16" xfId="0" applyFont="1" applyFill="1" applyBorder="1" applyAlignment="1">
      <alignment vertical="center"/>
    </xf>
    <xf numFmtId="49" fontId="0" fillId="16" borderId="16" xfId="0" applyNumberFormat="1" applyFont="1" applyFill="1" applyBorder="1" applyAlignment="1">
      <alignment vertical="center"/>
    </xf>
    <xf numFmtId="0" fontId="0" fillId="16" borderId="16" xfId="52" applyFont="1" applyFill="1" applyBorder="1">
      <alignment/>
      <protection/>
    </xf>
    <xf numFmtId="0" fontId="0" fillId="16" borderId="16" xfId="52" applyFont="1" applyFill="1" applyBorder="1" applyAlignment="1">
      <alignment horizontal="center"/>
      <protection/>
    </xf>
    <xf numFmtId="0" fontId="8" fillId="16" borderId="0" xfId="0" applyFont="1" applyFill="1" applyBorder="1" applyAlignment="1">
      <alignment horizontal="center"/>
    </xf>
    <xf numFmtId="0" fontId="36" fillId="16" borderId="0" xfId="52" applyFont="1" applyFill="1" applyBorder="1" applyAlignment="1">
      <alignment horizontal="center" vertical="center"/>
      <protection/>
    </xf>
    <xf numFmtId="0" fontId="30" fillId="16" borderId="0" xfId="0" applyFont="1" applyFill="1" applyBorder="1" applyAlignment="1">
      <alignment vertical="center"/>
    </xf>
    <xf numFmtId="49" fontId="0" fillId="16" borderId="0" xfId="0" applyNumberFormat="1" applyFont="1" applyFill="1" applyBorder="1" applyAlignment="1">
      <alignment vertical="center"/>
    </xf>
    <xf numFmtId="0" fontId="0" fillId="16" borderId="0" xfId="52" applyFont="1" applyFill="1" applyBorder="1">
      <alignment/>
      <protection/>
    </xf>
    <xf numFmtId="0" fontId="0" fillId="16" borderId="0" xfId="52" applyFont="1" applyFill="1" applyBorder="1" applyAlignment="1">
      <alignment horizontal="center"/>
      <protection/>
    </xf>
    <xf numFmtId="0" fontId="0" fillId="16" borderId="17" xfId="52" applyFont="1" applyFill="1" applyBorder="1" applyAlignment="1">
      <alignment horizontal="center"/>
      <protection/>
    </xf>
    <xf numFmtId="0" fontId="0" fillId="16" borderId="19" xfId="52" applyFont="1" applyFill="1" applyBorder="1" applyAlignment="1">
      <alignment horizontal="center"/>
      <protection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6" fontId="8" fillId="0" borderId="35" xfId="7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167" fontId="8" fillId="0" borderId="26" xfId="70" applyNumberFormat="1" applyFont="1" applyFill="1" applyBorder="1" applyAlignment="1">
      <alignment vertical="center"/>
    </xf>
    <xf numFmtId="167" fontId="29" fillId="0" borderId="26" xfId="70" applyNumberFormat="1" applyFont="1" applyFill="1" applyBorder="1" applyAlignment="1">
      <alignment vertical="center"/>
    </xf>
    <xf numFmtId="167" fontId="8" fillId="0" borderId="26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0" fontId="8" fillId="0" borderId="33" xfId="0" applyFont="1" applyBorder="1" applyAlignment="1">
      <alignment/>
    </xf>
    <xf numFmtId="167" fontId="8" fillId="0" borderId="26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8" fillId="0" borderId="41" xfId="0" applyNumberFormat="1" applyFont="1" applyBorder="1" applyAlignment="1">
      <alignment/>
    </xf>
    <xf numFmtId="0" fontId="2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168" fontId="4" fillId="16" borderId="0" xfId="70" applyNumberFormat="1" applyFont="1" applyFill="1" applyBorder="1" applyAlignment="1">
      <alignment/>
    </xf>
    <xf numFmtId="0" fontId="2" fillId="16" borderId="0" xfId="0" applyFont="1" applyFill="1" applyBorder="1" applyAlignment="1">
      <alignment horizontal="center"/>
    </xf>
    <xf numFmtId="166" fontId="4" fillId="16" borderId="0" xfId="70" applyNumberFormat="1" applyFont="1" applyFill="1" applyBorder="1" applyAlignment="1">
      <alignment horizontal="center"/>
    </xf>
    <xf numFmtId="2" fontId="2" fillId="16" borderId="0" xfId="0" applyNumberFormat="1" applyFont="1" applyFill="1" applyBorder="1" applyAlignment="1">
      <alignment horizontal="center"/>
    </xf>
    <xf numFmtId="0" fontId="46" fillId="16" borderId="0" xfId="0" applyFont="1" applyFill="1" applyBorder="1" applyAlignment="1">
      <alignment/>
    </xf>
    <xf numFmtId="178" fontId="46" fillId="16" borderId="0" xfId="0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22" fontId="2" fillId="16" borderId="0" xfId="0" applyNumberFormat="1" applyFont="1" applyFill="1" applyBorder="1" applyAlignment="1">
      <alignment/>
    </xf>
    <xf numFmtId="169" fontId="47" fillId="16" borderId="18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8" fillId="12" borderId="30" xfId="0" applyFont="1" applyFill="1" applyBorder="1" applyAlignment="1">
      <alignment horizontal="center" vertical="center"/>
    </xf>
    <xf numFmtId="167" fontId="13" fillId="0" borderId="64" xfId="70" applyNumberFormat="1" applyFont="1" applyFill="1" applyBorder="1" applyAlignment="1" applyProtection="1">
      <alignment horizontal="left" vertical="center"/>
      <protection/>
    </xf>
    <xf numFmtId="167" fontId="13" fillId="0" borderId="66" xfId="70" applyNumberFormat="1" applyFont="1" applyFill="1" applyBorder="1" applyAlignment="1" applyProtection="1">
      <alignment horizontal="left" vertical="center"/>
      <protection/>
    </xf>
    <xf numFmtId="176" fontId="0" fillId="0" borderId="17" xfId="70" applyNumberFormat="1" applyFont="1" applyFill="1" applyBorder="1" applyAlignment="1" applyProtection="1">
      <alignment horizontal="center" vertical="center"/>
      <protection/>
    </xf>
    <xf numFmtId="0" fontId="29" fillId="0" borderId="58" xfId="51" applyFont="1" applyBorder="1" applyAlignment="1">
      <alignment horizontal="right" vertical="center" wrapText="1"/>
      <protection/>
    </xf>
    <xf numFmtId="167" fontId="8" fillId="0" borderId="52" xfId="70" applyNumberFormat="1" applyFont="1" applyFill="1" applyBorder="1" applyAlignment="1" applyProtection="1">
      <alignment horizontal="right" vertical="center"/>
      <protection/>
    </xf>
    <xf numFmtId="0" fontId="8" fillId="0" borderId="45" xfId="0" applyFont="1" applyBorder="1" applyAlignment="1">
      <alignment vertical="center"/>
    </xf>
    <xf numFmtId="176" fontId="0" fillId="0" borderId="35" xfId="70" applyNumberFormat="1" applyFont="1" applyFill="1" applyBorder="1" applyAlignment="1" applyProtection="1">
      <alignment horizontal="center" vertical="center"/>
      <protection/>
    </xf>
    <xf numFmtId="176" fontId="8" fillId="0" borderId="26" xfId="70" applyNumberFormat="1" applyFont="1" applyFill="1" applyBorder="1" applyAlignment="1" applyProtection="1">
      <alignment horizontal="center" vertical="center"/>
      <protection/>
    </xf>
    <xf numFmtId="176" fontId="8" fillId="0" borderId="10" xfId="70" applyNumberFormat="1" applyFont="1" applyFill="1" applyBorder="1" applyAlignment="1" applyProtection="1">
      <alignment horizontal="center" vertical="center"/>
      <protection/>
    </xf>
    <xf numFmtId="176" fontId="8" fillId="0" borderId="23" xfId="70" applyNumberFormat="1" applyFont="1" applyFill="1" applyBorder="1" applyAlignment="1" applyProtection="1">
      <alignment horizontal="center" vertical="center"/>
      <protection/>
    </xf>
    <xf numFmtId="176" fontId="0" fillId="0" borderId="23" xfId="70" applyNumberFormat="1" applyFont="1" applyFill="1" applyBorder="1" applyAlignment="1" applyProtection="1">
      <alignment horizontal="center" vertical="center"/>
      <protection/>
    </xf>
    <xf numFmtId="0" fontId="30" fillId="0" borderId="0" xfId="51" applyFont="1" applyBorder="1" applyAlignment="1">
      <alignment horizontal="right" vertical="center" wrapText="1"/>
      <protection/>
    </xf>
    <xf numFmtId="0" fontId="30" fillId="0" borderId="71" xfId="51" applyFont="1" applyBorder="1" applyAlignment="1">
      <alignment horizontal="right" vertical="center"/>
      <protection/>
    </xf>
    <xf numFmtId="176" fontId="0" fillId="0" borderId="47" xfId="70" applyNumberFormat="1" applyFont="1" applyFill="1" applyBorder="1" applyAlignment="1" applyProtection="1">
      <alignment horizontal="center" vertical="center"/>
      <protection/>
    </xf>
    <xf numFmtId="176" fontId="8" fillId="0" borderId="47" xfId="70" applyNumberFormat="1" applyFont="1" applyFill="1" applyBorder="1" applyAlignment="1" applyProtection="1">
      <alignment horizontal="center" vertical="center"/>
      <protection/>
    </xf>
    <xf numFmtId="176" fontId="8" fillId="0" borderId="46" xfId="70" applyNumberFormat="1" applyFont="1" applyFill="1" applyBorder="1" applyAlignment="1" applyProtection="1">
      <alignment horizontal="center" vertical="center"/>
      <protection/>
    </xf>
    <xf numFmtId="176" fontId="0" fillId="0" borderId="54" xfId="70" applyNumberFormat="1" applyFont="1" applyFill="1" applyBorder="1" applyAlignment="1" applyProtection="1">
      <alignment horizontal="center" vertical="center"/>
      <protection/>
    </xf>
    <xf numFmtId="176" fontId="0" fillId="0" borderId="53" xfId="70" applyNumberFormat="1" applyFont="1" applyFill="1" applyBorder="1" applyAlignment="1" applyProtection="1">
      <alignment horizontal="center" vertical="center"/>
      <protection/>
    </xf>
    <xf numFmtId="176" fontId="0" fillId="0" borderId="46" xfId="70" applyNumberFormat="1" applyFont="1" applyFill="1" applyBorder="1" applyAlignment="1" applyProtection="1">
      <alignment horizontal="center" vertical="center"/>
      <protection/>
    </xf>
    <xf numFmtId="0" fontId="8" fillId="12" borderId="38" xfId="0" applyFont="1" applyFill="1" applyBorder="1" applyAlignment="1">
      <alignment horizontal="center" vertical="center"/>
    </xf>
    <xf numFmtId="176" fontId="8" fillId="12" borderId="26" xfId="70" applyNumberFormat="1" applyFont="1" applyFill="1" applyBorder="1" applyAlignment="1" applyProtection="1">
      <alignment horizontal="center" vertical="center"/>
      <protection/>
    </xf>
    <xf numFmtId="176" fontId="8" fillId="12" borderId="34" xfId="70" applyNumberFormat="1" applyFont="1" applyFill="1" applyBorder="1" applyAlignment="1" applyProtection="1">
      <alignment horizontal="center" vertical="center"/>
      <protection/>
    </xf>
    <xf numFmtId="173" fontId="8" fillId="0" borderId="17" xfId="70" applyNumberFormat="1" applyFont="1" applyFill="1" applyBorder="1" applyAlignment="1" applyProtection="1">
      <alignment horizontal="center" vertical="center"/>
      <protection/>
    </xf>
    <xf numFmtId="173" fontId="8" fillId="0" borderId="19" xfId="70" applyNumberFormat="1" applyFont="1" applyFill="1" applyBorder="1" applyAlignment="1" applyProtection="1">
      <alignment horizontal="center" vertical="center"/>
      <protection/>
    </xf>
    <xf numFmtId="173" fontId="0" fillId="0" borderId="46" xfId="70" applyNumberFormat="1" applyFont="1" applyFill="1" applyBorder="1" applyAlignment="1" applyProtection="1">
      <alignment vertical="center"/>
      <protection locked="0"/>
    </xf>
    <xf numFmtId="173" fontId="0" fillId="0" borderId="46" xfId="70" applyNumberFormat="1" applyFont="1" applyBorder="1" applyAlignment="1">
      <alignment horizontal="right" vertical="center"/>
    </xf>
    <xf numFmtId="173" fontId="0" fillId="0" borderId="71" xfId="70" applyNumberFormat="1" applyFont="1" applyFill="1" applyBorder="1" applyAlignment="1" applyProtection="1">
      <alignment vertical="center"/>
      <protection/>
    </xf>
    <xf numFmtId="173" fontId="0" fillId="0" borderId="22" xfId="70" applyNumberFormat="1" applyFont="1" applyFill="1" applyBorder="1" applyAlignment="1" applyProtection="1">
      <alignment vertical="center"/>
      <protection locked="0"/>
    </xf>
    <xf numFmtId="173" fontId="0" fillId="0" borderId="23" xfId="70" applyNumberFormat="1" applyFont="1" applyBorder="1" applyAlignment="1">
      <alignment horizontal="right" vertical="center"/>
    </xf>
    <xf numFmtId="173" fontId="0" fillId="0" borderId="0" xfId="70" applyNumberFormat="1" applyFont="1" applyFill="1" applyBorder="1" applyAlignment="1" applyProtection="1">
      <alignment vertical="center"/>
      <protection/>
    </xf>
    <xf numFmtId="173" fontId="8" fillId="0" borderId="11" xfId="70" applyNumberFormat="1" applyFont="1" applyFill="1" applyBorder="1" applyAlignment="1" applyProtection="1">
      <alignment horizontal="center" vertical="center"/>
      <protection/>
    </xf>
    <xf numFmtId="173" fontId="8" fillId="0" borderId="24" xfId="70" applyNumberFormat="1" applyFont="1" applyFill="1" applyBorder="1" applyAlignment="1" applyProtection="1">
      <alignment horizontal="center" vertical="center"/>
      <protection/>
    </xf>
    <xf numFmtId="173" fontId="8" fillId="0" borderId="47" xfId="70" applyNumberFormat="1" applyFont="1" applyFill="1" applyBorder="1" applyAlignment="1" applyProtection="1">
      <alignment vertical="center"/>
      <protection/>
    </xf>
    <xf numFmtId="173" fontId="8" fillId="0" borderId="71" xfId="70" applyNumberFormat="1" applyFont="1" applyFill="1" applyBorder="1" applyAlignment="1" applyProtection="1">
      <alignment vertical="center"/>
      <protection/>
    </xf>
    <xf numFmtId="173" fontId="0" fillId="0" borderId="44" xfId="70" applyNumberFormat="1" applyFont="1" applyFill="1" applyBorder="1" applyAlignment="1" applyProtection="1">
      <alignment vertical="center"/>
      <protection locked="0"/>
    </xf>
    <xf numFmtId="173" fontId="0" fillId="0" borderId="53" xfId="70" applyNumberFormat="1" applyFont="1" applyFill="1" applyBorder="1" applyAlignment="1" applyProtection="1">
      <alignment vertical="center"/>
      <protection locked="0"/>
    </xf>
    <xf numFmtId="173" fontId="0" fillId="0" borderId="53" xfId="70" applyNumberFormat="1" applyFont="1" applyBorder="1" applyAlignment="1">
      <alignment horizontal="right" vertical="center"/>
    </xf>
    <xf numFmtId="173" fontId="0" fillId="0" borderId="68" xfId="70" applyNumberFormat="1" applyFont="1" applyFill="1" applyBorder="1" applyAlignment="1" applyProtection="1">
      <alignment vertical="center"/>
      <protection/>
    </xf>
    <xf numFmtId="173" fontId="0" fillId="0" borderId="51" xfId="70" applyNumberFormat="1" applyFont="1" applyFill="1" applyBorder="1" applyAlignment="1" applyProtection="1">
      <alignment vertical="center"/>
      <protection locked="0"/>
    </xf>
    <xf numFmtId="173" fontId="0" fillId="0" borderId="49" xfId="70" applyNumberFormat="1" applyFont="1" applyFill="1" applyBorder="1" applyAlignment="1" applyProtection="1">
      <alignment vertical="center"/>
      <protection locked="0"/>
    </xf>
    <xf numFmtId="173" fontId="8" fillId="0" borderId="43" xfId="70" applyNumberFormat="1" applyFont="1" applyFill="1" applyBorder="1" applyAlignment="1" applyProtection="1">
      <alignment vertical="center"/>
      <protection/>
    </xf>
    <xf numFmtId="173" fontId="0" fillId="0" borderId="56" xfId="70" applyNumberFormat="1" applyFont="1" applyBorder="1" applyAlignment="1">
      <alignment horizontal="right" vertical="center"/>
    </xf>
    <xf numFmtId="173" fontId="0" fillId="0" borderId="54" xfId="70" applyNumberFormat="1" applyFont="1" applyBorder="1" applyAlignment="1">
      <alignment horizontal="right" vertical="center"/>
    </xf>
    <xf numFmtId="173" fontId="0" fillId="0" borderId="59" xfId="70" applyNumberFormat="1" applyFont="1" applyFill="1" applyBorder="1" applyAlignment="1" applyProtection="1">
      <alignment vertical="center"/>
      <protection locked="0"/>
    </xf>
    <xf numFmtId="173" fontId="0" fillId="0" borderId="23" xfId="70" applyNumberFormat="1" applyFont="1" applyFill="1" applyBorder="1" applyAlignment="1" applyProtection="1">
      <alignment vertical="center"/>
      <protection locked="0"/>
    </xf>
    <xf numFmtId="173" fontId="0" fillId="0" borderId="30" xfId="70" applyNumberFormat="1" applyFont="1" applyFill="1" applyBorder="1" applyAlignment="1" applyProtection="1">
      <alignment vertical="center"/>
      <protection locked="0"/>
    </xf>
    <xf numFmtId="173" fontId="0" fillId="0" borderId="35" xfId="70" applyNumberFormat="1" applyFont="1" applyBorder="1" applyAlignment="1">
      <alignment horizontal="right" vertical="center"/>
    </xf>
    <xf numFmtId="173" fontId="0" fillId="0" borderId="25" xfId="70" applyNumberFormat="1" applyFont="1" applyFill="1" applyBorder="1" applyAlignment="1" applyProtection="1">
      <alignment vertical="center"/>
      <protection/>
    </xf>
    <xf numFmtId="173" fontId="8" fillId="0" borderId="26" xfId="70" applyNumberFormat="1" applyFont="1" applyFill="1" applyBorder="1" applyAlignment="1" applyProtection="1">
      <alignment vertical="center"/>
      <protection locked="0"/>
    </xf>
    <xf numFmtId="173" fontId="8" fillId="0" borderId="35" xfId="70" applyNumberFormat="1" applyFont="1" applyBorder="1" applyAlignment="1">
      <alignment horizontal="right" vertical="center"/>
    </xf>
    <xf numFmtId="173" fontId="8" fillId="0" borderId="41" xfId="70" applyNumberFormat="1" applyFont="1" applyFill="1" applyBorder="1" applyAlignment="1" applyProtection="1">
      <alignment horizontal="center" vertical="center"/>
      <protection/>
    </xf>
    <xf numFmtId="173" fontId="8" fillId="0" borderId="34" xfId="70" applyNumberFormat="1" applyFont="1" applyFill="1" applyBorder="1" applyAlignment="1" applyProtection="1">
      <alignment horizontal="center" vertical="center"/>
      <protection/>
    </xf>
    <xf numFmtId="173" fontId="29" fillId="0" borderId="26" xfId="71" applyNumberFormat="1" applyFont="1" applyFill="1" applyBorder="1" applyAlignment="1" applyProtection="1">
      <alignment vertical="center"/>
      <protection/>
    </xf>
    <xf numFmtId="173" fontId="8" fillId="0" borderId="38" xfId="70" applyNumberFormat="1" applyFont="1" applyFill="1" applyBorder="1" applyAlignment="1" applyProtection="1">
      <alignment horizontal="center" vertical="center"/>
      <protection/>
    </xf>
    <xf numFmtId="173" fontId="29" fillId="0" borderId="30" xfId="71" applyNumberFormat="1" applyFont="1" applyFill="1" applyBorder="1" applyAlignment="1" applyProtection="1">
      <alignment vertical="center"/>
      <protection/>
    </xf>
    <xf numFmtId="173" fontId="8" fillId="0" borderId="25" xfId="70" applyNumberFormat="1" applyFont="1" applyFill="1" applyBorder="1" applyAlignment="1" applyProtection="1">
      <alignment horizontal="center" vertical="center"/>
      <protection/>
    </xf>
    <xf numFmtId="173" fontId="8" fillId="12" borderId="60" xfId="70" applyNumberFormat="1" applyFont="1" applyFill="1" applyBorder="1" applyAlignment="1" applyProtection="1">
      <alignment horizontal="center" vertical="center"/>
      <protection/>
    </xf>
    <xf numFmtId="173" fontId="8" fillId="12" borderId="38" xfId="70" applyNumberFormat="1" applyFont="1" applyFill="1" applyBorder="1" applyAlignment="1" applyProtection="1">
      <alignment horizontal="center" vertical="center"/>
      <protection/>
    </xf>
    <xf numFmtId="173" fontId="0" fillId="0" borderId="72" xfId="70" applyNumberFormat="1" applyFont="1" applyBorder="1" applyAlignment="1">
      <alignment horizontal="right" vertical="center"/>
    </xf>
    <xf numFmtId="173" fontId="0" fillId="0" borderId="73" xfId="70" applyNumberFormat="1" applyFont="1" applyFill="1" applyBorder="1" applyAlignment="1" applyProtection="1">
      <alignment vertical="center"/>
      <protection/>
    </xf>
    <xf numFmtId="173" fontId="0" fillId="0" borderId="72" xfId="70" applyNumberFormat="1" applyFont="1" applyFill="1" applyBorder="1" applyAlignment="1" applyProtection="1">
      <alignment vertical="center"/>
      <protection locked="0"/>
    </xf>
    <xf numFmtId="173" fontId="0" fillId="0" borderId="74" xfId="70" applyNumberFormat="1" applyFont="1" applyFill="1" applyBorder="1" applyAlignment="1" applyProtection="1">
      <alignment vertical="center"/>
      <protection/>
    </xf>
    <xf numFmtId="173" fontId="0" fillId="0" borderId="55" xfId="70" applyNumberFormat="1" applyFont="1" applyFill="1" applyBorder="1" applyAlignment="1" applyProtection="1">
      <alignment vertical="center"/>
      <protection locked="0"/>
    </xf>
    <xf numFmtId="173" fontId="0" fillId="0" borderId="55" xfId="7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0" fillId="0" borderId="72" xfId="70" applyNumberFormat="1" applyFont="1" applyFill="1" applyBorder="1" applyAlignment="1" applyProtection="1">
      <alignment horizontal="center" vertical="center"/>
      <protection/>
    </xf>
    <xf numFmtId="176" fontId="0" fillId="0" borderId="75" xfId="70" applyNumberFormat="1" applyFont="1" applyFill="1" applyBorder="1" applyAlignment="1" applyProtection="1">
      <alignment horizontal="center" vertical="center"/>
      <protection/>
    </xf>
    <xf numFmtId="176" fontId="0" fillId="0" borderId="55" xfId="70" applyNumberFormat="1" applyFont="1" applyFill="1" applyBorder="1" applyAlignment="1" applyProtection="1">
      <alignment horizontal="center" vertical="center"/>
      <protection/>
    </xf>
    <xf numFmtId="176" fontId="0" fillId="0" borderId="76" xfId="70" applyNumberFormat="1" applyFont="1" applyFill="1" applyBorder="1" applyAlignment="1" applyProtection="1">
      <alignment horizontal="center" vertical="center"/>
      <protection/>
    </xf>
    <xf numFmtId="176" fontId="0" fillId="0" borderId="56" xfId="70" applyNumberFormat="1" applyFont="1" applyFill="1" applyBorder="1" applyAlignment="1" applyProtection="1">
      <alignment horizontal="center" vertical="center"/>
      <protection/>
    </xf>
    <xf numFmtId="0" fontId="4" fillId="16" borderId="0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Continuous"/>
    </xf>
    <xf numFmtId="1" fontId="18" fillId="19" borderId="14" xfId="0" applyNumberFormat="1" applyFont="1" applyFill="1" applyBorder="1" applyAlignment="1">
      <alignment horizontal="center"/>
    </xf>
    <xf numFmtId="1" fontId="18" fillId="19" borderId="21" xfId="0" applyNumberFormat="1" applyFont="1" applyFill="1" applyBorder="1" applyAlignment="1">
      <alignment horizontal="center"/>
    </xf>
    <xf numFmtId="1" fontId="18" fillId="19" borderId="20" xfId="0" applyNumberFormat="1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Continuous"/>
    </xf>
    <xf numFmtId="2" fontId="18" fillId="19" borderId="16" xfId="0" applyNumberFormat="1" applyFont="1" applyFill="1" applyBorder="1" applyAlignment="1">
      <alignment horizontal="centerContinuous"/>
    </xf>
    <xf numFmtId="2" fontId="18" fillId="19" borderId="15" xfId="0" applyNumberFormat="1" applyFont="1" applyFill="1" applyBorder="1" applyAlignment="1">
      <alignment horizontal="centerContinuous"/>
    </xf>
    <xf numFmtId="0" fontId="18" fillId="19" borderId="16" xfId="0" applyFont="1" applyFill="1" applyBorder="1" applyAlignment="1">
      <alignment horizontal="centerContinuous"/>
    </xf>
    <xf numFmtId="0" fontId="18" fillId="19" borderId="15" xfId="0" applyFont="1" applyFill="1" applyBorder="1" applyAlignment="1">
      <alignment horizontal="centerContinuous"/>
    </xf>
    <xf numFmtId="0" fontId="0" fillId="19" borderId="20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8" fillId="19" borderId="12" xfId="0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"/>
    </xf>
    <xf numFmtId="0" fontId="20" fillId="16" borderId="19" xfId="0" applyFont="1" applyFill="1" applyBorder="1" applyAlignment="1">
      <alignment vertical="center"/>
    </xf>
    <xf numFmtId="0" fontId="103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5" fillId="16" borderId="0" xfId="0" applyFont="1" applyFill="1" applyAlignment="1">
      <alignment/>
    </xf>
    <xf numFmtId="168" fontId="0" fillId="0" borderId="10" xfId="70" applyNumberFormat="1" applyFont="1" applyBorder="1" applyAlignment="1">
      <alignment/>
    </xf>
    <xf numFmtId="168" fontId="23" fillId="0" borderId="22" xfId="70" applyNumberFormat="1" applyFont="1" applyFill="1" applyBorder="1" applyAlignment="1">
      <alignment horizontal="right" vertical="center"/>
    </xf>
    <xf numFmtId="168" fontId="0" fillId="16" borderId="0" xfId="7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168" fontId="0" fillId="16" borderId="0" xfId="7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168" fontId="0" fillId="16" borderId="37" xfId="70" applyNumberFormat="1" applyFont="1" applyFill="1" applyBorder="1" applyAlignment="1">
      <alignment/>
    </xf>
    <xf numFmtId="168" fontId="0" fillId="16" borderId="19" xfId="70" applyNumberFormat="1" applyFont="1" applyFill="1" applyBorder="1" applyAlignment="1">
      <alignment/>
    </xf>
    <xf numFmtId="0" fontId="17" fillId="0" borderId="0" xfId="0" applyFont="1" applyAlignment="1">
      <alignment/>
    </xf>
    <xf numFmtId="0" fontId="26" fillId="16" borderId="15" xfId="0" applyFont="1" applyFill="1" applyBorder="1" applyAlignment="1">
      <alignment horizontal="center"/>
    </xf>
    <xf numFmtId="166" fontId="0" fillId="16" borderId="15" xfId="70" applyNumberFormat="1" applyFont="1" applyFill="1" applyBorder="1" applyAlignment="1">
      <alignment horizontal="center"/>
    </xf>
    <xf numFmtId="0" fontId="5" fillId="16" borderId="15" xfId="0" applyFont="1" applyFill="1" applyBorder="1" applyAlignment="1" quotePrefix="1">
      <alignment horizontal="center"/>
    </xf>
    <xf numFmtId="0" fontId="5" fillId="2" borderId="19" xfId="0" applyFont="1" applyFill="1" applyBorder="1" applyAlignment="1">
      <alignment/>
    </xf>
    <xf numFmtId="168" fontId="0" fillId="16" borderId="23" xfId="70" applyNumberFormat="1" applyFont="1" applyFill="1" applyBorder="1" applyAlignment="1">
      <alignment horizontal="center"/>
    </xf>
    <xf numFmtId="166" fontId="0" fillId="16" borderId="23" xfId="70" applyNumberFormat="1" applyFont="1" applyFill="1" applyBorder="1" applyAlignment="1">
      <alignment horizontal="center"/>
    </xf>
    <xf numFmtId="168" fontId="0" fillId="16" borderId="10" xfId="70" applyNumberFormat="1" applyFont="1" applyFill="1" applyBorder="1" applyAlignment="1">
      <alignment horizontal="center"/>
    </xf>
    <xf numFmtId="0" fontId="5" fillId="0" borderId="0" xfId="0" applyFont="1" applyAlignment="1" quotePrefix="1">
      <alignment/>
    </xf>
    <xf numFmtId="168" fontId="0" fillId="16" borderId="22" xfId="70" applyNumberFormat="1" applyFont="1" applyFill="1" applyBorder="1" applyAlignment="1">
      <alignment/>
    </xf>
    <xf numFmtId="168" fontId="0" fillId="16" borderId="10" xfId="70" applyNumberFormat="1" applyFont="1" applyFill="1" applyBorder="1" applyAlignment="1">
      <alignment horizontal="right"/>
    </xf>
    <xf numFmtId="0" fontId="0" fillId="16" borderId="13" xfId="0" applyFont="1" applyFill="1" applyBorder="1" applyAlignment="1">
      <alignment/>
    </xf>
    <xf numFmtId="168" fontId="0" fillId="16" borderId="15" xfId="70" applyNumberFormat="1" applyFont="1" applyFill="1" applyBorder="1" applyAlignment="1">
      <alignment vertical="center"/>
    </xf>
    <xf numFmtId="168" fontId="0" fillId="16" borderId="18" xfId="70" applyNumberFormat="1" applyFont="1" applyFill="1" applyBorder="1" applyAlignment="1">
      <alignment vertical="center"/>
    </xf>
    <xf numFmtId="168" fontId="0" fillId="16" borderId="24" xfId="70" applyNumberFormat="1" applyFont="1" applyFill="1" applyBorder="1" applyAlignment="1">
      <alignment vertical="center"/>
    </xf>
    <xf numFmtId="0" fontId="0" fillId="16" borderId="13" xfId="0" applyFont="1" applyFill="1" applyBorder="1" applyAlignment="1">
      <alignment horizontal="center"/>
    </xf>
    <xf numFmtId="168" fontId="0" fillId="16" borderId="22" xfId="70" applyNumberFormat="1" applyFont="1" applyFill="1" applyBorder="1" applyAlignment="1">
      <alignment horizontal="right"/>
    </xf>
    <xf numFmtId="168" fontId="0" fillId="16" borderId="13" xfId="70" applyNumberFormat="1" applyFont="1" applyFill="1" applyBorder="1" applyAlignment="1">
      <alignment horizontal="right"/>
    </xf>
    <xf numFmtId="0" fontId="27" fillId="16" borderId="38" xfId="0" applyFont="1" applyFill="1" applyBorder="1" applyAlignment="1">
      <alignment horizontal="centerContinuous"/>
    </xf>
    <xf numFmtId="0" fontId="5" fillId="16" borderId="25" xfId="0" applyFont="1" applyFill="1" applyBorder="1" applyAlignment="1">
      <alignment horizontal="centerContinuous"/>
    </xf>
    <xf numFmtId="0" fontId="28" fillId="16" borderId="25" xfId="0" applyFont="1" applyFill="1" applyBorder="1" applyAlignment="1">
      <alignment horizontal="centerContinuous"/>
    </xf>
    <xf numFmtId="0" fontId="28" fillId="16" borderId="29" xfId="0" applyFont="1" applyFill="1" applyBorder="1" applyAlignment="1">
      <alignment horizontal="centerContinuous"/>
    </xf>
    <xf numFmtId="0" fontId="0" fillId="16" borderId="30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16" borderId="30" xfId="0" applyFont="1" applyFill="1" applyBorder="1" applyAlignment="1">
      <alignment/>
    </xf>
    <xf numFmtId="0" fontId="5" fillId="16" borderId="32" xfId="0" applyFont="1" applyFill="1" applyBorder="1" applyAlignment="1" quotePrefix="1">
      <alignment horizontal="center"/>
    </xf>
    <xf numFmtId="166" fontId="0" fillId="16" borderId="22" xfId="70" applyNumberFormat="1" applyFont="1" applyFill="1" applyBorder="1" applyAlignment="1">
      <alignment horizontal="center"/>
    </xf>
    <xf numFmtId="168" fontId="8" fillId="16" borderId="10" xfId="70" applyNumberFormat="1" applyFont="1" applyFill="1" applyBorder="1" applyAlignment="1">
      <alignment horizontal="right"/>
    </xf>
    <xf numFmtId="0" fontId="7" fillId="16" borderId="12" xfId="0" applyFont="1" applyFill="1" applyBorder="1" applyAlignment="1" quotePrefix="1">
      <alignment horizontal="center"/>
    </xf>
    <xf numFmtId="166" fontId="8" fillId="16" borderId="23" xfId="70" applyNumberFormat="1" applyFont="1" applyFill="1" applyBorder="1" applyAlignment="1">
      <alignment horizontal="center"/>
    </xf>
    <xf numFmtId="168" fontId="8" fillId="16" borderId="18" xfId="70" applyNumberFormat="1" applyFont="1" applyFill="1" applyBorder="1" applyAlignment="1">
      <alignment vertical="center"/>
    </xf>
    <xf numFmtId="0" fontId="41" fillId="16" borderId="27" xfId="0" applyFont="1" applyFill="1" applyBorder="1" applyAlignment="1">
      <alignment horizontal="center"/>
    </xf>
    <xf numFmtId="168" fontId="0" fillId="16" borderId="32" xfId="70" applyNumberFormat="1" applyFont="1" applyFill="1" applyBorder="1" applyAlignment="1">
      <alignment/>
    </xf>
    <xf numFmtId="0" fontId="104" fillId="16" borderId="15" xfId="0" applyFont="1" applyFill="1" applyBorder="1" applyAlignment="1">
      <alignment/>
    </xf>
    <xf numFmtId="0" fontId="105" fillId="16" borderId="15" xfId="0" applyFont="1" applyFill="1" applyBorder="1" applyAlignment="1">
      <alignment horizontal="center"/>
    </xf>
    <xf numFmtId="0" fontId="103" fillId="16" borderId="15" xfId="0" applyFont="1" applyFill="1" applyBorder="1" applyAlignment="1">
      <alignment horizontal="center" vertical="center" wrapText="1"/>
    </xf>
    <xf numFmtId="164" fontId="0" fillId="0" borderId="15" xfId="70" applyFont="1" applyBorder="1" applyAlignment="1">
      <alignment/>
    </xf>
    <xf numFmtId="164" fontId="0" fillId="0" borderId="0" xfId="70" applyFont="1" applyAlignment="1">
      <alignment/>
    </xf>
    <xf numFmtId="168" fontId="103" fillId="0" borderId="36" xfId="70" applyNumberFormat="1" applyFont="1" applyBorder="1" applyAlignment="1">
      <alignment horizontal="left" vertical="center"/>
    </xf>
    <xf numFmtId="0" fontId="106" fillId="34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68" fontId="8" fillId="16" borderId="23" xfId="70" applyNumberFormat="1" applyFont="1" applyFill="1" applyBorder="1" applyAlignment="1">
      <alignment horizontal="right"/>
    </xf>
    <xf numFmtId="0" fontId="7" fillId="16" borderId="18" xfId="0" applyFont="1" applyFill="1" applyBorder="1" applyAlignment="1" quotePrefix="1">
      <alignment horizontal="center"/>
    </xf>
    <xf numFmtId="0" fontId="7" fillId="16" borderId="23" xfId="0" applyFont="1" applyFill="1" applyBorder="1" applyAlignment="1" quotePrefix="1">
      <alignment horizontal="center"/>
    </xf>
    <xf numFmtId="166" fontId="8" fillId="16" borderId="18" xfId="70" applyNumberFormat="1" applyFont="1" applyFill="1" applyBorder="1" applyAlignment="1">
      <alignment horizontal="center"/>
    </xf>
    <xf numFmtId="168" fontId="8" fillId="16" borderId="18" xfId="70" applyNumberFormat="1" applyFont="1" applyFill="1" applyBorder="1" applyAlignment="1">
      <alignment horizontal="center"/>
    </xf>
    <xf numFmtId="168" fontId="8" fillId="16" borderId="23" xfId="70" applyNumberFormat="1" applyFont="1" applyFill="1" applyBorder="1" applyAlignment="1">
      <alignment horizontal="center"/>
    </xf>
    <xf numFmtId="168" fontId="0" fillId="16" borderId="23" xfId="70" applyNumberFormat="1" applyFont="1" applyFill="1" applyBorder="1" applyAlignment="1">
      <alignment/>
    </xf>
    <xf numFmtId="168" fontId="0" fillId="16" borderId="23" xfId="70" applyNumberFormat="1" applyFont="1" applyFill="1" applyBorder="1" applyAlignment="1">
      <alignment vertical="center"/>
    </xf>
    <xf numFmtId="168" fontId="0" fillId="16" borderId="23" xfId="70" applyNumberFormat="1" applyFont="1" applyFill="1" applyBorder="1" applyAlignment="1">
      <alignment horizontal="right"/>
    </xf>
    <xf numFmtId="168" fontId="0" fillId="0" borderId="10" xfId="70" applyNumberFormat="1" applyFont="1" applyBorder="1" applyAlignment="1">
      <alignment horizontal="center" vertical="center"/>
    </xf>
    <xf numFmtId="164" fontId="0" fillId="33" borderId="10" xfId="70" applyNumberFormat="1" applyFont="1" applyFill="1" applyBorder="1" applyAlignment="1" quotePrefix="1">
      <alignment horizontal="center" vertical="center"/>
    </xf>
    <xf numFmtId="164" fontId="0" fillId="33" borderId="10" xfId="70" applyFont="1" applyFill="1" applyBorder="1" applyAlignment="1" quotePrefix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68" fontId="0" fillId="0" borderId="35" xfId="70" applyNumberFormat="1" applyFont="1" applyBorder="1" applyAlignment="1">
      <alignment horizontal="center" vertical="center"/>
    </xf>
    <xf numFmtId="164" fontId="0" fillId="33" borderId="35" xfId="70" applyNumberFormat="1" applyFont="1" applyFill="1" applyBorder="1" applyAlignment="1" quotePrefix="1">
      <alignment horizontal="center" vertical="center"/>
    </xf>
    <xf numFmtId="164" fontId="0" fillId="33" borderId="35" xfId="70" applyFont="1" applyFill="1" applyBorder="1" applyAlignment="1" quotePrefix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3" fontId="8" fillId="34" borderId="26" xfId="0" applyNumberFormat="1" applyFont="1" applyFill="1" applyBorder="1" applyAlignment="1">
      <alignment horizontal="center" vertical="center" wrapText="1"/>
    </xf>
    <xf numFmtId="164" fontId="8" fillId="34" borderId="26" xfId="70" applyNumberFormat="1" applyFont="1" applyFill="1" applyBorder="1" applyAlignment="1" quotePrefix="1">
      <alignment horizontal="center" vertical="center"/>
    </xf>
    <xf numFmtId="164" fontId="8" fillId="34" borderId="26" xfId="70" applyFont="1" applyFill="1" applyBorder="1" applyAlignment="1" quotePrefix="1">
      <alignment horizontal="center" vertical="center"/>
    </xf>
    <xf numFmtId="4" fontId="8" fillId="34" borderId="26" xfId="0" applyNumberFormat="1" applyFont="1" applyFill="1" applyBorder="1" applyAlignment="1">
      <alignment horizontal="center" vertical="center"/>
    </xf>
    <xf numFmtId="4" fontId="8" fillId="34" borderId="34" xfId="70" applyNumberFormat="1" applyFont="1" applyFill="1" applyBorder="1" applyAlignment="1" quotePrefix="1">
      <alignment horizontal="center" vertical="center"/>
    </xf>
    <xf numFmtId="2" fontId="5" fillId="12" borderId="15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3" fontId="5" fillId="12" borderId="15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8" fontId="0" fillId="0" borderId="12" xfId="70" applyNumberFormat="1" applyFont="1" applyBorder="1" applyAlignment="1">
      <alignment/>
    </xf>
    <xf numFmtId="168" fontId="0" fillId="0" borderId="12" xfId="70" applyNumberFormat="1" applyFont="1" applyBorder="1" applyAlignment="1">
      <alignment horizontal="left" vertical="center"/>
    </xf>
    <xf numFmtId="168" fontId="0" fillId="0" borderId="10" xfId="70" applyNumberFormat="1" applyFont="1" applyBorder="1" applyAlignment="1">
      <alignment horizontal="right" vertical="center"/>
    </xf>
    <xf numFmtId="168" fontId="0" fillId="0" borderId="11" xfId="70" applyNumberFormat="1" applyFont="1" applyBorder="1" applyAlignment="1">
      <alignment horizontal="center" vertical="center"/>
    </xf>
    <xf numFmtId="168" fontId="0" fillId="36" borderId="10" xfId="70" applyNumberFormat="1" applyFont="1" applyFill="1" applyBorder="1" applyAlignment="1">
      <alignment horizontal="right" vertical="center"/>
    </xf>
    <xf numFmtId="168" fontId="0" fillId="36" borderId="11" xfId="70" applyNumberFormat="1" applyFont="1" applyFill="1" applyBorder="1" applyAlignment="1">
      <alignment horizontal="center" vertical="center"/>
    </xf>
    <xf numFmtId="168" fontId="0" fillId="0" borderId="18" xfId="70" applyNumberFormat="1" applyFont="1" applyBorder="1" applyAlignment="1">
      <alignment horizontal="left" vertical="center"/>
    </xf>
    <xf numFmtId="168" fontId="0" fillId="0" borderId="23" xfId="70" applyNumberFormat="1" applyFont="1" applyBorder="1" applyAlignment="1">
      <alignment horizontal="center" vertical="center"/>
    </xf>
    <xf numFmtId="168" fontId="0" fillId="0" borderId="23" xfId="70" applyNumberFormat="1" applyFont="1" applyBorder="1" applyAlignment="1">
      <alignment horizontal="right" vertical="center"/>
    </xf>
    <xf numFmtId="168" fontId="0" fillId="0" borderId="17" xfId="70" applyNumberFormat="1" applyFont="1" applyBorder="1" applyAlignment="1">
      <alignment horizontal="center" vertical="center"/>
    </xf>
    <xf numFmtId="168" fontId="13" fillId="0" borderId="13" xfId="70" applyNumberFormat="1" applyFont="1" applyBorder="1" applyAlignment="1">
      <alignment/>
    </xf>
    <xf numFmtId="168" fontId="13" fillId="0" borderId="22" xfId="70" applyNumberFormat="1" applyFont="1" applyBorder="1" applyAlignment="1">
      <alignment/>
    </xf>
    <xf numFmtId="168" fontId="18" fillId="0" borderId="22" xfId="70" applyNumberFormat="1" applyFont="1" applyFill="1" applyBorder="1" applyAlignment="1">
      <alignment horizontal="right" vertical="center"/>
    </xf>
    <xf numFmtId="168" fontId="0" fillId="0" borderId="22" xfId="70" applyNumberFormat="1" applyFont="1" applyBorder="1" applyAlignment="1">
      <alignment/>
    </xf>
    <xf numFmtId="168" fontId="0" fillId="0" borderId="35" xfId="70" applyNumberFormat="1" applyFont="1" applyBorder="1" applyAlignment="1">
      <alignment horizontal="right" vertical="center"/>
    </xf>
    <xf numFmtId="168" fontId="0" fillId="0" borderId="31" xfId="70" applyNumberFormat="1" applyFont="1" applyBorder="1" applyAlignment="1">
      <alignment horizontal="center" vertical="center"/>
    </xf>
    <xf numFmtId="168" fontId="8" fillId="34" borderId="30" xfId="70" applyNumberFormat="1" applyFont="1" applyFill="1" applyBorder="1" applyAlignment="1">
      <alignment horizontal="center" vertical="center"/>
    </xf>
    <xf numFmtId="168" fontId="8" fillId="19" borderId="30" xfId="70" applyNumberFormat="1" applyFont="1" applyFill="1" applyBorder="1" applyAlignment="1">
      <alignment horizontal="right" vertical="center"/>
    </xf>
    <xf numFmtId="168" fontId="8" fillId="19" borderId="38" xfId="70" applyNumberFormat="1" applyFont="1" applyFill="1" applyBorder="1" applyAlignment="1">
      <alignment horizontal="center" vertical="center"/>
    </xf>
    <xf numFmtId="165" fontId="53" fillId="12" borderId="15" xfId="0" applyNumberFormat="1" applyFont="1" applyFill="1" applyBorder="1" applyAlignment="1">
      <alignment horizontal="center"/>
    </xf>
    <xf numFmtId="165" fontId="5" fillId="6" borderId="15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168" fontId="8" fillId="44" borderId="26" xfId="70" applyNumberFormat="1" applyFont="1" applyFill="1" applyBorder="1" applyAlignment="1">
      <alignment/>
    </xf>
    <xf numFmtId="168" fontId="0" fillId="36" borderId="29" xfId="70" applyNumberFormat="1" applyFont="1" applyFill="1" applyBorder="1" applyAlignment="1">
      <alignment horizontal="left"/>
    </xf>
    <xf numFmtId="165" fontId="5" fillId="12" borderId="15" xfId="0" applyNumberFormat="1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39" fillId="45" borderId="22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 vertical="center" wrapText="1"/>
    </xf>
    <xf numFmtId="0" fontId="0" fillId="12" borderId="77" xfId="0" applyFont="1" applyFill="1" applyBorder="1" applyAlignment="1">
      <alignment horizontal="center"/>
    </xf>
    <xf numFmtId="0" fontId="0" fillId="12" borderId="37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center"/>
    </xf>
    <xf numFmtId="0" fontId="0" fillId="12" borderId="78" xfId="0" applyFont="1" applyFill="1" applyBorder="1" applyAlignment="1">
      <alignment horizontal="center" vertical="center"/>
    </xf>
    <xf numFmtId="0" fontId="0" fillId="12" borderId="25" xfId="0" applyFont="1" applyFill="1" applyBorder="1" applyAlignment="1" quotePrefix="1">
      <alignment horizontal="center" vertical="center"/>
    </xf>
    <xf numFmtId="2" fontId="5" fillId="12" borderId="0" xfId="0" applyNumberFormat="1" applyFont="1" applyFill="1" applyBorder="1" applyAlignment="1">
      <alignment horizontal="center" vertical="center"/>
    </xf>
    <xf numFmtId="2" fontId="5" fillId="12" borderId="19" xfId="0" applyNumberFormat="1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2" fontId="7" fillId="12" borderId="16" xfId="0" applyNumberFormat="1" applyFont="1" applyFill="1" applyBorder="1" applyAlignment="1">
      <alignment horizontal="left" vertical="top" wrapText="1"/>
    </xf>
    <xf numFmtId="2" fontId="7" fillId="12" borderId="0" xfId="0" applyNumberFormat="1" applyFont="1" applyFill="1" applyBorder="1" applyAlignment="1">
      <alignment horizontal="left" vertical="top" wrapText="1"/>
    </xf>
    <xf numFmtId="2" fontId="7" fillId="12" borderId="15" xfId="0" applyNumberFormat="1" applyFont="1" applyFill="1" applyBorder="1" applyAlignment="1">
      <alignment horizontal="left" vertical="top" wrapText="1"/>
    </xf>
    <xf numFmtId="2" fontId="7" fillId="12" borderId="17" xfId="0" applyNumberFormat="1" applyFont="1" applyFill="1" applyBorder="1" applyAlignment="1">
      <alignment horizontal="left" vertical="top" wrapText="1"/>
    </xf>
    <xf numFmtId="2" fontId="7" fillId="12" borderId="19" xfId="0" applyNumberFormat="1" applyFont="1" applyFill="1" applyBorder="1" applyAlignment="1">
      <alignment horizontal="left" vertical="top" wrapText="1"/>
    </xf>
    <xf numFmtId="2" fontId="7" fillId="12" borderId="18" xfId="0" applyNumberFormat="1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34" borderId="20" xfId="53" applyFont="1" applyFill="1" applyBorder="1" applyAlignment="1">
      <alignment horizontal="center" vertical="center"/>
      <protection/>
    </xf>
    <xf numFmtId="0" fontId="8" fillId="34" borderId="18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8" fillId="34" borderId="24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17" xfId="53" applyFont="1" applyFill="1" applyBorder="1" applyAlignment="1">
      <alignment horizontal="center" vertical="center" wrapText="1"/>
      <protection/>
    </xf>
    <xf numFmtId="0" fontId="3" fillId="16" borderId="0" xfId="53" applyFont="1" applyFill="1" applyBorder="1" applyAlignment="1">
      <alignment horizontal="center"/>
      <protection/>
    </xf>
    <xf numFmtId="0" fontId="8" fillId="16" borderId="19" xfId="53" applyFont="1" applyFill="1" applyBorder="1" applyAlignment="1">
      <alignment horizontal="center"/>
      <protection/>
    </xf>
    <xf numFmtId="0" fontId="3" fillId="16" borderId="0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17" fontId="4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2" fontId="18" fillId="19" borderId="16" xfId="0" applyNumberFormat="1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"/>
    </xf>
    <xf numFmtId="2" fontId="18" fillId="19" borderId="15" xfId="0" applyNumberFormat="1" applyFont="1" applyFill="1" applyBorder="1" applyAlignment="1">
      <alignment horizontal="center"/>
    </xf>
    <xf numFmtId="2" fontId="18" fillId="19" borderId="17" xfId="0" applyNumberFormat="1" applyFont="1" applyFill="1" applyBorder="1" applyAlignment="1">
      <alignment horizontal="center"/>
    </xf>
    <xf numFmtId="2" fontId="18" fillId="19" borderId="19" xfId="0" applyNumberFormat="1" applyFont="1" applyFill="1" applyBorder="1" applyAlignment="1">
      <alignment horizontal="center"/>
    </xf>
    <xf numFmtId="2" fontId="18" fillId="19" borderId="18" xfId="0" applyNumberFormat="1" applyFont="1" applyFill="1" applyBorder="1" applyAlignment="1">
      <alignment horizontal="center"/>
    </xf>
    <xf numFmtId="0" fontId="18" fillId="19" borderId="17" xfId="0" applyFont="1" applyFill="1" applyBorder="1" applyAlignment="1">
      <alignment horizontal="center"/>
    </xf>
    <xf numFmtId="0" fontId="18" fillId="19" borderId="19" xfId="0" applyFont="1" applyFill="1" applyBorder="1" applyAlignment="1">
      <alignment horizontal="center"/>
    </xf>
    <xf numFmtId="0" fontId="18" fillId="19" borderId="18" xfId="0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18" fillId="19" borderId="20" xfId="0" applyFont="1" applyFill="1" applyBorder="1" applyAlignment="1">
      <alignment horizontal="center" vertical="center"/>
    </xf>
    <xf numFmtId="0" fontId="18" fillId="19" borderId="15" xfId="0" applyFont="1" applyFill="1" applyBorder="1" applyAlignment="1">
      <alignment horizontal="center" vertical="center"/>
    </xf>
    <xf numFmtId="0" fontId="18" fillId="19" borderId="18" xfId="0" applyFont="1" applyFill="1" applyBorder="1" applyAlignment="1">
      <alignment horizontal="center" vertical="center"/>
    </xf>
    <xf numFmtId="0" fontId="12" fillId="16" borderId="19" xfId="45" applyFont="1" applyFill="1" applyBorder="1" applyAlignment="1" applyProtection="1">
      <alignment horizontal="left" vertical="center"/>
      <protection/>
    </xf>
    <xf numFmtId="49" fontId="18" fillId="16" borderId="14" xfId="56" applyNumberFormat="1" applyFont="1" applyFill="1" applyBorder="1" applyAlignment="1">
      <alignment horizontal="center" vertical="center"/>
      <protection/>
    </xf>
    <xf numFmtId="49" fontId="18" fillId="16" borderId="21" xfId="56" applyNumberFormat="1" applyFont="1" applyFill="1" applyBorder="1" applyAlignment="1">
      <alignment horizontal="center" vertical="center"/>
      <protection/>
    </xf>
    <xf numFmtId="49" fontId="18" fillId="16" borderId="20" xfId="56" applyNumberFormat="1" applyFont="1" applyFill="1" applyBorder="1" applyAlignment="1">
      <alignment horizontal="center" vertical="center"/>
      <protection/>
    </xf>
    <xf numFmtId="49" fontId="18" fillId="34" borderId="21" xfId="55" applyNumberFormat="1" applyFont="1" applyFill="1" applyBorder="1" applyAlignment="1">
      <alignment horizontal="center" vertical="center" wrapText="1"/>
      <protection/>
    </xf>
    <xf numFmtId="49" fontId="18" fillId="34" borderId="20" xfId="55" applyNumberFormat="1" applyFont="1" applyFill="1" applyBorder="1" applyAlignment="1">
      <alignment horizontal="center" vertical="center" wrapText="1"/>
      <protection/>
    </xf>
    <xf numFmtId="49" fontId="18" fillId="34" borderId="19" xfId="55" applyNumberFormat="1" applyFont="1" applyFill="1" applyBorder="1" applyAlignment="1">
      <alignment horizontal="center" vertical="center" wrapText="1"/>
      <protection/>
    </xf>
    <xf numFmtId="49" fontId="18" fillId="34" borderId="18" xfId="55" applyNumberFormat="1" applyFont="1" applyFill="1" applyBorder="1" applyAlignment="1">
      <alignment horizontal="center" vertical="center" wrapText="1"/>
      <protection/>
    </xf>
    <xf numFmtId="49" fontId="18" fillId="34" borderId="11" xfId="55" applyNumberFormat="1" applyFont="1" applyFill="1" applyBorder="1" applyAlignment="1">
      <alignment horizontal="center" vertical="center" wrapText="1"/>
      <protection/>
    </xf>
    <xf numFmtId="49" fontId="18" fillId="34" borderId="12" xfId="55" applyNumberFormat="1" applyFont="1" applyFill="1" applyBorder="1" applyAlignment="1">
      <alignment horizontal="center" vertical="center" wrapText="1"/>
      <protection/>
    </xf>
    <xf numFmtId="49" fontId="18" fillId="34" borderId="14" xfId="55" applyNumberFormat="1" applyFont="1" applyFill="1" applyBorder="1" applyAlignment="1">
      <alignment horizontal="center" vertical="center" wrapText="1"/>
      <protection/>
    </xf>
    <xf numFmtId="49" fontId="18" fillId="34" borderId="17" xfId="55" applyNumberFormat="1" applyFont="1" applyFill="1" applyBorder="1" applyAlignment="1">
      <alignment horizontal="center" vertical="center" wrapText="1"/>
      <protection/>
    </xf>
    <xf numFmtId="49" fontId="18" fillId="16" borderId="16" xfId="56" applyNumberFormat="1" applyFont="1" applyFill="1" applyBorder="1" applyAlignment="1">
      <alignment horizontal="center" vertical="center"/>
      <protection/>
    </xf>
    <xf numFmtId="49" fontId="18" fillId="16" borderId="0" xfId="56" applyNumberFormat="1" applyFont="1" applyFill="1" applyBorder="1" applyAlignment="1">
      <alignment horizontal="center" vertical="center"/>
      <protection/>
    </xf>
    <xf numFmtId="49" fontId="18" fillId="16" borderId="15" xfId="56" applyNumberFormat="1" applyFont="1" applyFill="1" applyBorder="1" applyAlignment="1">
      <alignment horizontal="center" vertical="center"/>
      <protection/>
    </xf>
    <xf numFmtId="3" fontId="3" fillId="16" borderId="0" xfId="0" applyNumberFormat="1" applyFont="1" applyFill="1" applyAlignment="1">
      <alignment horizontal="center"/>
    </xf>
    <xf numFmtId="0" fontId="8" fillId="43" borderId="39" xfId="0" applyFont="1" applyFill="1" applyBorder="1" applyAlignment="1">
      <alignment horizontal="center"/>
    </xf>
    <xf numFmtId="0" fontId="8" fillId="43" borderId="15" xfId="0" applyFont="1" applyFill="1" applyBorder="1" applyAlignment="1">
      <alignment horizontal="center"/>
    </xf>
    <xf numFmtId="49" fontId="18" fillId="16" borderId="0" xfId="55" applyNumberFormat="1" applyFont="1" applyFill="1" applyBorder="1" applyAlignment="1">
      <alignment horizontal="center" vertical="center" wrapText="1"/>
      <protection/>
    </xf>
    <xf numFmtId="49" fontId="8" fillId="43" borderId="77" xfId="0" applyNumberFormat="1" applyFont="1" applyFill="1" applyBorder="1" applyAlignment="1">
      <alignment horizontal="center" vertical="center"/>
    </xf>
    <xf numFmtId="49" fontId="8" fillId="43" borderId="37" xfId="0" applyNumberFormat="1" applyFont="1" applyFill="1" applyBorder="1" applyAlignment="1">
      <alignment horizontal="center" vertical="center"/>
    </xf>
    <xf numFmtId="49" fontId="8" fillId="43" borderId="27" xfId="0" applyNumberFormat="1" applyFont="1" applyFill="1" applyBorder="1" applyAlignment="1">
      <alignment horizontal="center" vertical="center"/>
    </xf>
    <xf numFmtId="1" fontId="8" fillId="43" borderId="7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8" fillId="43" borderId="11" xfId="0" applyNumberFormat="1" applyFont="1" applyFill="1" applyBorder="1" applyAlignment="1">
      <alignment horizontal="center" vertical="center"/>
    </xf>
    <xf numFmtId="0" fontId="8" fillId="43" borderId="24" xfId="0" applyNumberFormat="1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6" fillId="16" borderId="16" xfId="0" applyFont="1" applyFill="1" applyBorder="1" applyAlignment="1">
      <alignment horizontal="center"/>
    </xf>
    <xf numFmtId="0" fontId="26" fillId="16" borderId="0" xfId="0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/>
    </xf>
    <xf numFmtId="0" fontId="41" fillId="16" borderId="14" xfId="0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/>
    </xf>
    <xf numFmtId="0" fontId="8" fillId="16" borderId="77" xfId="0" applyFont="1" applyFill="1" applyBorder="1" applyAlignment="1">
      <alignment horizontal="center"/>
    </xf>
    <xf numFmtId="0" fontId="8" fillId="16" borderId="37" xfId="0" applyFont="1" applyFill="1" applyBorder="1" applyAlignment="1">
      <alignment horizontal="center"/>
    </xf>
    <xf numFmtId="0" fontId="8" fillId="16" borderId="27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34" borderId="15" xfId="0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center"/>
    </xf>
    <xf numFmtId="0" fontId="8" fillId="34" borderId="24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17" fontId="8" fillId="43" borderId="77" xfId="0" applyNumberFormat="1" applyFont="1" applyFill="1" applyBorder="1" applyAlignment="1">
      <alignment horizontal="center"/>
    </xf>
    <xf numFmtId="17" fontId="8" fillId="43" borderId="37" xfId="0" applyNumberFormat="1" applyFont="1" applyFill="1" applyBorder="1" applyAlignment="1">
      <alignment horizontal="center"/>
    </xf>
    <xf numFmtId="3" fontId="3" fillId="16" borderId="16" xfId="0" applyNumberFormat="1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3" fontId="3" fillId="16" borderId="15" xfId="0" applyNumberFormat="1" applyFont="1" applyFill="1" applyBorder="1" applyAlignment="1">
      <alignment horizontal="center"/>
    </xf>
    <xf numFmtId="1" fontId="8" fillId="43" borderId="37" xfId="0" applyNumberFormat="1" applyFont="1" applyFill="1" applyBorder="1" applyAlignment="1">
      <alignment horizontal="center" vertical="center"/>
    </xf>
    <xf numFmtId="0" fontId="8" fillId="13" borderId="41" xfId="0" applyFont="1" applyFill="1" applyBorder="1" applyAlignment="1">
      <alignment horizontal="center"/>
    </xf>
    <xf numFmtId="0" fontId="0" fillId="16" borderId="78" xfId="0" applyFont="1" applyFill="1" applyBorder="1" applyAlignment="1">
      <alignment horizontal="left" vertical="center" wrapText="1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/>
    </xf>
    <xf numFmtId="0" fontId="8" fillId="13" borderId="33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3" fontId="3" fillId="16" borderId="0" xfId="0" applyNumberFormat="1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173" fontId="8" fillId="12" borderId="13" xfId="0" applyNumberFormat="1" applyFont="1" applyFill="1" applyBorder="1" applyAlignment="1">
      <alignment horizontal="center" vertical="center"/>
    </xf>
    <xf numFmtId="173" fontId="8" fillId="12" borderId="30" xfId="0" applyNumberFormat="1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2" borderId="77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78" xfId="0" applyFont="1" applyFill="1" applyBorder="1" applyAlignment="1">
      <alignment horizontal="center" vertical="center"/>
    </xf>
    <xf numFmtId="0" fontId="8" fillId="12" borderId="39" xfId="0" applyFont="1" applyFill="1" applyBorder="1" applyAlignment="1">
      <alignment horizontal="center" vertical="center"/>
    </xf>
    <xf numFmtId="0" fontId="31" fillId="43" borderId="12" xfId="0" applyFont="1" applyFill="1" applyBorder="1" applyAlignment="1">
      <alignment horizontal="center" vertical="center"/>
    </xf>
    <xf numFmtId="0" fontId="31" fillId="43" borderId="10" xfId="0" applyFont="1" applyFill="1" applyBorder="1" applyAlignment="1">
      <alignment horizontal="center" vertical="center"/>
    </xf>
    <xf numFmtId="0" fontId="31" fillId="43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49" fontId="8" fillId="35" borderId="24" xfId="0" applyNumberFormat="1" applyFont="1" applyFill="1" applyBorder="1" applyAlignment="1">
      <alignment horizontal="center"/>
    </xf>
    <xf numFmtId="0" fontId="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1" fillId="43" borderId="21" xfId="0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_Ranking do Agronegócio-Valores" xfId="45"/>
    <cellStyle name="Incorreto" xfId="46"/>
    <cellStyle name="Currency" xfId="47"/>
    <cellStyle name="Currency [0]" xfId="48"/>
    <cellStyle name="Neutra" xfId="49"/>
    <cellStyle name="Normal 2_Produção Brasiliera de Café-2015-2014-2013" xfId="50"/>
    <cellStyle name="Normal 2_Produção CONAB - 1999 a 2014" xfId="51"/>
    <cellStyle name="Normal_Balança Janeiro-02" xfId="52"/>
    <cellStyle name="Normal_Estoques privados e público-CONAB-04-13" xfId="53"/>
    <cellStyle name="Normal_Informe Café - Julho-02" xfId="54"/>
    <cellStyle name="Normal_Plan1_1" xfId="55"/>
    <cellStyle name="Normal_Ranking do Agronegócio-Valores" xfId="56"/>
    <cellStyle name="Nota" xfId="57"/>
    <cellStyle name="Percent" xfId="58"/>
    <cellStyle name="Saída" xfId="59"/>
    <cellStyle name="Comma [0]" xfId="60"/>
    <cellStyle name="Separador de milhares_Estoques privados e público-CONAB-04-1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1125"/>
          <c:w val="0.946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Plan1!$B$6:$P$6</c:f>
              <c:numCache>
                <c:ptCount val="15"/>
                <c:pt idx="0">
                  <c:v>22.5</c:v>
                </c:pt>
                <c:pt idx="1">
                  <c:v>37.9</c:v>
                </c:pt>
                <c:pt idx="2">
                  <c:v>20.1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>
                  <c:v>35.5</c:v>
                </c:pt>
                <c:pt idx="8">
                  <c:v>28.8</c:v>
                </c:pt>
                <c:pt idx="9">
                  <c:v>36.8</c:v>
                </c:pt>
                <c:pt idx="10">
                  <c:v>32.2</c:v>
                </c:pt>
                <c:pt idx="11">
                  <c:v>38.3</c:v>
                </c:pt>
                <c:pt idx="12">
                  <c:v>38.3</c:v>
                </c:pt>
                <c:pt idx="13">
                  <c:v>32.3</c:v>
                </c:pt>
                <c:pt idx="14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Plan1!$B$7:$P$7</c:f>
              <c:numCache>
                <c:ptCount val="15"/>
                <c:pt idx="0">
                  <c:v>8.8</c:v>
                </c:pt>
                <c:pt idx="1">
                  <c:v>10.5</c:v>
                </c:pt>
                <c:pt idx="2">
                  <c:v>8.7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>
                  <c:v>10.5</c:v>
                </c:pt>
                <c:pt idx="8">
                  <c:v>10.6</c:v>
                </c:pt>
                <c:pt idx="9">
                  <c:v>11.2</c:v>
                </c:pt>
                <c:pt idx="10">
                  <c:v>11.3</c:v>
                </c:pt>
                <c:pt idx="11">
                  <c:v>12.5</c:v>
                </c:pt>
                <c:pt idx="12">
                  <c:v>10.9</c:v>
                </c:pt>
                <c:pt idx="13">
                  <c:v>13</c:v>
                </c:pt>
                <c:pt idx="14">
                  <c:v>10.8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31,3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48,4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28,8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39,2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32,9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42,5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36,0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46,0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39,4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48,0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43,5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50,8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49,2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45,3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ALTA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 44,2
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BAIXA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Plan1!$B$8:$P$8</c:f>
              <c:numCache>
                <c:ptCount val="15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>
                  <c:v>46</c:v>
                </c:pt>
                <c:pt idx="8">
                  <c:v>39.4</c:v>
                </c:pt>
                <c:pt idx="9">
                  <c:v>48</c:v>
                </c:pt>
                <c:pt idx="10">
                  <c:v>43.5</c:v>
                </c:pt>
                <c:pt idx="11">
                  <c:v>50.8</c:v>
                </c:pt>
                <c:pt idx="12">
                  <c:v>49.199999999999996</c:v>
                </c:pt>
                <c:pt idx="13">
                  <c:v>45.3</c:v>
                </c:pt>
                <c:pt idx="14">
                  <c:v>44.2</c:v>
                </c:pt>
              </c:numCache>
            </c:numRef>
          </c:val>
        </c:ser>
        <c:gapWidth val="75"/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07"/>
          <c:w val="0.3612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2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545"/>
          <c:w val="0.795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Extrato'!$C$7:$C$16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Extrato'!$F$7:$F$16,'Exp. Extrato'!$F$18:$F$19)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89"/>
          <c:w val="0.139"/>
          <c:h val="0.63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29"/>
          <c:w val="0.7887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Extrato'!$D$7:$D$16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Extrato'!$G$7:$G$16,'Exp. Extrato'!$G$18:$G$19)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8225"/>
          <c:w val="0.1365"/>
          <c:h val="0.571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Global 2015/14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52"/>
          <c:w val="0.81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Total!$C$7:$C$16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(Total!$L$7:$L$16,Total!$L$18:$L$19)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1875"/>
          <c:w val="0.139"/>
          <c:h val="0.5832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Global 2015/14</a:t>
            </a:r>
          </a:p>
        </c:rich>
      </c:tx>
      <c:layout>
        <c:manualLayout>
          <c:xMode val="factor"/>
          <c:yMode val="factor"/>
          <c:x val="0.02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812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Total!$F$7:$F$16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(Total!$N$7:$N$16,Total!$N$18:$N$19)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1805"/>
          <c:w val="0.145"/>
          <c:h val="0.5722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05"/>
          <c:w val="0.96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/>
            </c:numRef>
          </c:cat>
          <c:val>
            <c:numRef>
              <c:f>Plan1!$B$6:$P$6</c:f>
              <c:numCache/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/>
            </c:numRef>
          </c:cat>
          <c:val>
            <c:numRef>
              <c:f>Plan1!$B$7:$P$7</c:f>
              <c:numCache/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Plan1!$B$5:$P$5</c:f>
              <c:numCache/>
            </c:numRef>
          </c:cat>
          <c:val>
            <c:numRef>
              <c:f>Plan1!$B$8:$P$8</c:f>
              <c:numCache/>
            </c:numRef>
          </c:val>
        </c:ser>
        <c:gapWidth val="75"/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22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75"/>
          <c:y val="0.89575"/>
          <c:w val="0.327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Evolução dos Preços
Pagos ao Produtor -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Em R$/saca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59"/>
          <c:w val="0.811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Preço!$A$31</c:f>
              <c:strCache>
                <c:ptCount val="1"/>
                <c:pt idx="0">
                  <c:v>MG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Preço!$B$30:$E$30</c:f>
              <c:strCache/>
            </c:strRef>
          </c:cat>
          <c:val>
            <c:numRef>
              <c:f>Preço!$B$31:$E$31</c:f>
              <c:numCache/>
            </c:numRef>
          </c:val>
          <c:smooth val="0"/>
        </c:ser>
        <c:ser>
          <c:idx val="1"/>
          <c:order val="1"/>
          <c:tx>
            <c:strRef>
              <c:f>Preço!$A$33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Preço!$B$30:$E$30</c:f>
              <c:strCache/>
            </c:strRef>
          </c:cat>
          <c:val>
            <c:numRef>
              <c:f>Preço!$B$33:$E$33</c:f>
              <c:numCache/>
            </c:numRef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  <c:min val="16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94304"/>
        <c:crossesAt val="1"/>
        <c:crossBetween val="between"/>
        <c:dispUnits/>
      </c:valAx>
      <c:spPr>
        <a:solidFill>
          <a:srgbClr val="C4BD9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75"/>
          <c:y val="0.23525"/>
          <c:w val="0.15025"/>
          <c:h val="0.5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Evolução dos Preços
Internacionais -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NY US$(cents/LP) e LD (US$/Ton.)</a:t>
            </a:r>
          </a:p>
        </c:rich>
      </c:tx>
      <c:layout>
        <c:manualLayout>
          <c:xMode val="factor"/>
          <c:yMode val="factor"/>
          <c:x val="0.0075"/>
          <c:y val="-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5"/>
          <c:w val="0.848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Preço!$A$32</c:f>
              <c:strCache>
                <c:ptCount val="1"/>
                <c:pt idx="0">
                  <c:v>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Preço!$B$30:$E$30</c:f>
              <c:strCache/>
            </c:strRef>
          </c:cat>
          <c:val>
            <c:numRef>
              <c:f>Preço!$B$32:$E$32</c:f>
              <c:numCache/>
            </c:numRef>
          </c:val>
          <c:smooth val="0"/>
        </c:ser>
        <c:ser>
          <c:idx val="1"/>
          <c:order val="1"/>
          <c:tx>
            <c:strRef>
              <c:f>Preço!$A$34</c:f>
              <c:strCache>
                <c:ptCount val="1"/>
                <c:pt idx="0">
                  <c:v>LD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Preço!$B$30:$E$30</c:f>
              <c:strCache/>
            </c:strRef>
          </c:cat>
          <c:val>
            <c:numRef>
              <c:f>Preço!$B$34:$E$34</c:f>
              <c:numCache/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3850"/>
        <c:crossesAt val="1"/>
        <c:crossBetween val="between"/>
        <c:dispUnits/>
      </c:valAx>
      <c:spPr>
        <a:solidFill>
          <a:srgbClr val="C4BD9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1755"/>
          <c:w val="0.13425"/>
          <c:h val="0.6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45"/>
          <c:w val="0.816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Verde'!$C$7:$C$16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Verde'!$F$7:$F$16,'Exp. Verde'!$F$18:$F$19)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89"/>
          <c:w val="0.13975"/>
          <c:h val="0.63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09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29"/>
          <c:w val="0.8227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Verde'!$D$7:$D$16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Verde'!$G$7:$G$16,'Exp. Verde'!$G$18:$G$19)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18225"/>
          <c:w val="0.13525"/>
          <c:h val="0.571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29"/>
          <c:w val="0.803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Solúvel'!$D$7:$D$16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Solúvel'!$G$7:$G$16,'Exp. Solúvel'!$G$18:$G$19)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675"/>
          <c:w val="0.1415"/>
          <c:h val="0.5912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2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806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Solúvel'!$C$7:$C$16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Solúvel'!$F$7:$F$16,'Exp. Solúvel'!$F$18:$F$19)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89"/>
          <c:w val="0.139"/>
          <c:h val="0.63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2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545"/>
          <c:w val="0.790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Torrado'!$C$7:$C$16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Torrado'!$F$7:$F$16,'Exp. Torrado'!$F$18:$F$19)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89"/>
          <c:w val="0.139"/>
          <c:h val="0.63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9"/>
          <c:w val="0.774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'Exp. Torrado'!$D$7:$D$16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 Torrado'!$G$7,'Exp. Torrado'!$G$7:$G$16,'Exp. Torrado'!$G$18:$G$19)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8225"/>
          <c:w val="0.1365"/>
          <c:h val="0.571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6</xdr:row>
      <xdr:rowOff>190500</xdr:rowOff>
    </xdr:from>
    <xdr:to>
      <xdr:col>1</xdr:col>
      <xdr:colOff>5057775</xdr:colOff>
      <xdr:row>17</xdr:row>
      <xdr:rowOff>9525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409700"/>
          <a:ext cx="18002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25</xdr:row>
      <xdr:rowOff>57150</xdr:rowOff>
    </xdr:to>
    <xdr:sp>
      <xdr:nvSpPr>
        <xdr:cNvPr id="1" name="WordArt 1"/>
        <xdr:cNvSpPr>
          <a:spLocks/>
        </xdr:cNvSpPr>
      </xdr:nvSpPr>
      <xdr:spPr>
        <a:xfrm rot="5400000">
          <a:off x="228600" y="1676400"/>
          <a:ext cx="742950" cy="405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53881" dir="2700000" algn="ctr">
                  <a:srgbClr val="CBCBCB">
                    <a:alpha val="100000"/>
                  </a:srgbClr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457200" y="285750"/>
          <a:ext cx="4352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209550</xdr:colOff>
      <xdr:row>1</xdr:row>
      <xdr:rowOff>9525</xdr:rowOff>
    </xdr:from>
    <xdr:to>
      <xdr:col>10</xdr:col>
      <xdr:colOff>1609725</xdr:colOff>
      <xdr:row>12</xdr:row>
      <xdr:rowOff>152400</xdr:rowOff>
    </xdr:to>
    <xdr:graphicFrame>
      <xdr:nvGraphicFramePr>
        <xdr:cNvPr id="3" name="Chart 5"/>
        <xdr:cNvGraphicFramePr/>
      </xdr:nvGraphicFramePr>
      <xdr:xfrm>
        <a:off x="5162550" y="219075"/>
        <a:ext cx="3829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13</xdr:row>
      <xdr:rowOff>152400</xdr:rowOff>
    </xdr:from>
    <xdr:to>
      <xdr:col>10</xdr:col>
      <xdr:colOff>1628775</xdr:colOff>
      <xdr:row>26</xdr:row>
      <xdr:rowOff>19050</xdr:rowOff>
    </xdr:to>
    <xdr:graphicFrame>
      <xdr:nvGraphicFramePr>
        <xdr:cNvPr id="4" name="Chart 5"/>
        <xdr:cNvGraphicFramePr/>
      </xdr:nvGraphicFramePr>
      <xdr:xfrm>
        <a:off x="5162550" y="3143250"/>
        <a:ext cx="38481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1</xdr:row>
      <xdr:rowOff>123825</xdr:rowOff>
    </xdr:from>
    <xdr:to>
      <xdr:col>18</xdr:col>
      <xdr:colOff>28575</xdr:colOff>
      <xdr:row>3</xdr:row>
      <xdr:rowOff>76200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5242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123825</xdr:rowOff>
    </xdr:from>
    <xdr:to>
      <xdr:col>9</xdr:col>
      <xdr:colOff>38100</xdr:colOff>
      <xdr:row>3</xdr:row>
      <xdr:rowOff>85725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14325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1</xdr:row>
      <xdr:rowOff>152400</xdr:rowOff>
    </xdr:from>
    <xdr:to>
      <xdr:col>9</xdr:col>
      <xdr:colOff>19050</xdr:colOff>
      <xdr:row>3</xdr:row>
      <xdr:rowOff>114300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42900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429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429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</xdr:row>
      <xdr:rowOff>152400</xdr:rowOff>
    </xdr:from>
    <xdr:to>
      <xdr:col>12</xdr:col>
      <xdr:colOff>609600</xdr:colOff>
      <xdr:row>3</xdr:row>
      <xdr:rowOff>171450</xdr:rowOff>
    </xdr:to>
    <xdr:pic>
      <xdr:nvPicPr>
        <xdr:cNvPr id="3" name="Picture 8" descr="LOGO CAFÉ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3429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66675</xdr:rowOff>
    </xdr:from>
    <xdr:to>
      <xdr:col>6</xdr:col>
      <xdr:colOff>304800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52425" y="3867150"/>
        <a:ext cx="39719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23</xdr:row>
      <xdr:rowOff>66675</xdr:rowOff>
    </xdr:from>
    <xdr:to>
      <xdr:col>11</xdr:col>
      <xdr:colOff>752475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562475" y="3867150"/>
        <a:ext cx="39624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23</xdr:row>
      <xdr:rowOff>66675</xdr:rowOff>
    </xdr:from>
    <xdr:to>
      <xdr:col>11</xdr:col>
      <xdr:colOff>752475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4514850" y="3867150"/>
        <a:ext cx="39243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23</xdr:row>
      <xdr:rowOff>76200</xdr:rowOff>
    </xdr:from>
    <xdr:to>
      <xdr:col>6</xdr:col>
      <xdr:colOff>371475</xdr:colOff>
      <xdr:row>34</xdr:row>
      <xdr:rowOff>85725</xdr:rowOff>
    </xdr:to>
    <xdr:graphicFrame>
      <xdr:nvGraphicFramePr>
        <xdr:cNvPr id="2" name="Chart 1"/>
        <xdr:cNvGraphicFramePr/>
      </xdr:nvGraphicFramePr>
      <xdr:xfrm>
        <a:off x="419100" y="3876675"/>
        <a:ext cx="3924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66675</xdr:rowOff>
    </xdr:from>
    <xdr:to>
      <xdr:col>6</xdr:col>
      <xdr:colOff>304800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52425" y="3867150"/>
        <a:ext cx="39243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23</xdr:row>
      <xdr:rowOff>66675</xdr:rowOff>
    </xdr:from>
    <xdr:to>
      <xdr:col>11</xdr:col>
      <xdr:colOff>752475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514850" y="3867150"/>
        <a:ext cx="39243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66675</xdr:rowOff>
    </xdr:from>
    <xdr:to>
      <xdr:col>6</xdr:col>
      <xdr:colOff>304800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52425" y="3867150"/>
        <a:ext cx="39243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23</xdr:row>
      <xdr:rowOff>66675</xdr:rowOff>
    </xdr:from>
    <xdr:to>
      <xdr:col>11</xdr:col>
      <xdr:colOff>752475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514850" y="3867150"/>
        <a:ext cx="39243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66675</xdr:rowOff>
    </xdr:from>
    <xdr:to>
      <xdr:col>9</xdr:col>
      <xdr:colOff>0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352425" y="4057650"/>
        <a:ext cx="39909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23</xdr:row>
      <xdr:rowOff>66675</xdr:rowOff>
    </xdr:from>
    <xdr:to>
      <xdr:col>16</xdr:col>
      <xdr:colOff>209550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4467225" y="4057650"/>
        <a:ext cx="43529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6</xdr:row>
      <xdr:rowOff>190500</xdr:rowOff>
    </xdr:from>
    <xdr:to>
      <xdr:col>1</xdr:col>
      <xdr:colOff>3248025</xdr:colOff>
      <xdr:row>17</xdr:row>
      <xdr:rowOff>9525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40970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3</xdr:row>
      <xdr:rowOff>219075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905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0.01975</cdr:y>
    </cdr:from>
    <cdr:to>
      <cdr:x>0.788</cdr:x>
      <cdr:y>0.1245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57350" y="47625"/>
          <a:ext cx="3295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Evolução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Produção de Café Arábica, Conilon e 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milhões de sacas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>
      <xdr:nvGraphicFramePr>
        <xdr:cNvPr id="1" name="Gráfico 8"/>
        <xdr:cNvGraphicFramePr/>
      </xdr:nvGraphicFramePr>
      <xdr:xfrm>
        <a:off x="0" y="1895475"/>
        <a:ext cx="6286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7</xdr:row>
      <xdr:rowOff>200025</xdr:rowOff>
    </xdr:from>
    <xdr:to>
      <xdr:col>2</xdr:col>
      <xdr:colOff>3248025</xdr:colOff>
      <xdr:row>17</xdr:row>
      <xdr:rowOff>28575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7</xdr:row>
      <xdr:rowOff>200025</xdr:rowOff>
    </xdr:from>
    <xdr:to>
      <xdr:col>1</xdr:col>
      <xdr:colOff>923925</xdr:colOff>
      <xdr:row>17</xdr:row>
      <xdr:rowOff>28575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743075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1</xdr:row>
      <xdr:rowOff>76200</xdr:rowOff>
    </xdr:from>
    <xdr:to>
      <xdr:col>19</xdr:col>
      <xdr:colOff>9525</xdr:colOff>
      <xdr:row>4</xdr:row>
      <xdr:rowOff>152400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857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1</xdr:row>
      <xdr:rowOff>76200</xdr:rowOff>
    </xdr:from>
    <xdr:to>
      <xdr:col>18</xdr:col>
      <xdr:colOff>447675</xdr:colOff>
      <xdr:row>4</xdr:row>
      <xdr:rowOff>152400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8575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104775</xdr:rowOff>
    </xdr:from>
    <xdr:to>
      <xdr:col>15</xdr:col>
      <xdr:colOff>47625</xdr:colOff>
      <xdr:row>4</xdr:row>
      <xdr:rowOff>76200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571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1</xdr:row>
      <xdr:rowOff>57150</xdr:rowOff>
    </xdr:from>
    <xdr:to>
      <xdr:col>13</xdr:col>
      <xdr:colOff>590550</xdr:colOff>
      <xdr:row>2</xdr:row>
      <xdr:rowOff>152400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5750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715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609600</xdr:colOff>
      <xdr:row>4</xdr:row>
      <xdr:rowOff>104775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7150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0.2655</cdr:x>
      <cdr:y>0.02875</cdr:y>
    </cdr:from>
    <cdr:to>
      <cdr:x>0.787</cdr:x>
      <cdr:y>0.135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219325" y="142875"/>
          <a:ext cx="4371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Evolução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Produção de Café Arábica, Conilon e 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milhões de sacas</a:t>
          </a:r>
        </a:p>
      </cdr:txBody>
    </cdr:sp>
  </cdr:relSizeAnchor>
  <cdr:relSizeAnchor xmlns:cdr="http://schemas.openxmlformats.org/drawingml/2006/chartDrawing">
    <cdr:from>
      <cdr:x>0.2655</cdr:x>
      <cdr:y>0.02875</cdr:y>
    </cdr:from>
    <cdr:to>
      <cdr:x>0.787</cdr:x>
      <cdr:y>0.135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219325" y="142875"/>
          <a:ext cx="4371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Evolução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Produção de Café Arábica, Conilon e 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milhões de sacas</a:t>
          </a:r>
        </a:p>
      </cdr:txBody>
    </cdr:sp>
  </cdr:relSizeAnchor>
  <cdr:relSizeAnchor xmlns:cdr="http://schemas.openxmlformats.org/drawingml/2006/chartDrawing">
    <cdr:from>
      <cdr:x>0.47875</cdr:x>
      <cdr:y>0.851</cdr:y>
    </cdr:from>
    <cdr:to>
      <cdr:x>0.571</cdr:x>
      <cdr:y>0.883</cdr:y>
    </cdr:to>
    <cdr:sp>
      <cdr:nvSpPr>
        <cdr:cNvPr id="3" name="CaixaDeTexto 4"/>
        <cdr:cNvSpPr txBox="1">
          <a:spLocks noChangeArrowheads="1"/>
        </cdr:cNvSpPr>
      </cdr:nvSpPr>
      <cdr:spPr>
        <a:xfrm>
          <a:off x="4010025" y="441960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SAFRAS</a:t>
          </a:r>
        </a:p>
      </cdr:txBody>
    </cdr:sp>
  </cdr:relSizeAnchor>
  <cdr:relSizeAnchor xmlns:cdr="http://schemas.openxmlformats.org/drawingml/2006/chartDrawing">
    <cdr:from>
      <cdr:x>0.05575</cdr:x>
      <cdr:y>0.96325</cdr:y>
    </cdr:from>
    <cdr:to>
      <cdr:x>0.31625</cdr:x>
      <cdr:y>0.9875</cdr:y>
    </cdr:to>
    <cdr:sp>
      <cdr:nvSpPr>
        <cdr:cNvPr id="4" name="CaixaDeTexto 5"/>
        <cdr:cNvSpPr txBox="1">
          <a:spLocks noChangeArrowheads="1"/>
        </cdr:cNvSpPr>
      </cdr:nvSpPr>
      <cdr:spPr>
        <a:xfrm>
          <a:off x="466725" y="5000625"/>
          <a:ext cx="2190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 ou baixa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bienalidade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190500</xdr:rowOff>
    </xdr:from>
    <xdr:to>
      <xdr:col>0</xdr:col>
      <xdr:colOff>0</xdr:colOff>
      <xdr:row>17</xdr:row>
      <xdr:rowOff>9525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"/>
          <a:ext cx="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152400</xdr:rowOff>
    </xdr:from>
    <xdr:to>
      <xdr:col>13</xdr:col>
      <xdr:colOff>561975</xdr:colOff>
      <xdr:row>22</xdr:row>
      <xdr:rowOff>142875</xdr:rowOff>
    </xdr:to>
    <xdr:graphicFrame>
      <xdr:nvGraphicFramePr>
        <xdr:cNvPr id="2" name="Gráfico 8"/>
        <xdr:cNvGraphicFramePr/>
      </xdr:nvGraphicFramePr>
      <xdr:xfrm>
        <a:off x="390525" y="381000"/>
        <a:ext cx="83915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.7109375" style="0" customWidth="1"/>
    <col min="2" max="2" width="126.421875" style="0" customWidth="1"/>
    <col min="3" max="3" width="2.7109375" style="0" customWidth="1"/>
    <col min="4" max="4" width="8.8515625" style="0" bestFit="1" customWidth="1"/>
  </cols>
  <sheetData>
    <row r="1" spans="1:3" ht="16.5" customHeight="1">
      <c r="A1" s="69"/>
      <c r="B1" s="331"/>
      <c r="C1" s="69"/>
    </row>
    <row r="2" spans="1:3" ht="13.5" customHeight="1">
      <c r="A2" s="71"/>
      <c r="B2" s="437"/>
      <c r="C2" s="70"/>
    </row>
    <row r="3" spans="1:3" ht="16.5" customHeight="1">
      <c r="A3" s="71"/>
      <c r="B3" s="438"/>
      <c r="C3" s="70"/>
    </row>
    <row r="4" spans="1:3" ht="16.5" customHeight="1">
      <c r="A4" s="71"/>
      <c r="B4" s="438" t="s">
        <v>383</v>
      </c>
      <c r="C4" s="70"/>
    </row>
    <row r="5" spans="1:3" ht="16.5" customHeight="1">
      <c r="A5" s="71"/>
      <c r="B5" s="438" t="s">
        <v>352</v>
      </c>
      <c r="C5" s="70"/>
    </row>
    <row r="6" spans="1:3" ht="16.5" customHeight="1">
      <c r="A6" s="71"/>
      <c r="B6" s="438" t="s">
        <v>353</v>
      </c>
      <c r="C6" s="70"/>
    </row>
    <row r="7" spans="1:3" ht="16.5" customHeight="1">
      <c r="A7" s="71"/>
      <c r="B7" s="438"/>
      <c r="C7" s="70"/>
    </row>
    <row r="8" spans="1:3" ht="16.5" customHeight="1">
      <c r="A8" s="71"/>
      <c r="B8" s="438"/>
      <c r="C8" s="70"/>
    </row>
    <row r="9" spans="1:3" ht="16.5" customHeight="1">
      <c r="A9" s="71"/>
      <c r="B9" s="438"/>
      <c r="C9" s="70"/>
    </row>
    <row r="10" spans="1:3" ht="16.5" customHeight="1">
      <c r="A10" s="71"/>
      <c r="B10" s="438"/>
      <c r="C10" s="70"/>
    </row>
    <row r="11" spans="1:3" ht="16.5" customHeight="1">
      <c r="A11" s="71"/>
      <c r="B11" s="438"/>
      <c r="C11" s="70"/>
    </row>
    <row r="12" spans="1:3" ht="16.5" customHeight="1">
      <c r="A12" s="71"/>
      <c r="B12" s="438"/>
      <c r="C12" s="70"/>
    </row>
    <row r="13" spans="1:3" ht="16.5" customHeight="1">
      <c r="A13" s="71"/>
      <c r="B13" s="438"/>
      <c r="C13" s="70"/>
    </row>
    <row r="14" spans="1:3" ht="16.5" customHeight="1">
      <c r="A14" s="71"/>
      <c r="B14" s="438"/>
      <c r="C14" s="70"/>
    </row>
    <row r="15" spans="1:3" ht="16.5" customHeight="1">
      <c r="A15" s="71"/>
      <c r="B15" s="438"/>
      <c r="C15" s="70"/>
    </row>
    <row r="16" spans="1:3" ht="16.5" customHeight="1">
      <c r="A16" s="71"/>
      <c r="B16" s="438"/>
      <c r="C16" s="70"/>
    </row>
    <row r="17" spans="1:3" ht="16.5" customHeight="1">
      <c r="A17" s="71"/>
      <c r="B17" s="438"/>
      <c r="C17" s="70"/>
    </row>
    <row r="18" spans="1:3" ht="16.5" customHeight="1">
      <c r="A18" s="71"/>
      <c r="B18" s="438"/>
      <c r="C18" s="70"/>
    </row>
    <row r="19" spans="1:3" ht="16.5" customHeight="1">
      <c r="A19" s="71"/>
      <c r="B19" s="866" t="s">
        <v>354</v>
      </c>
      <c r="C19" s="70"/>
    </row>
    <row r="20" spans="1:3" ht="16.5" customHeight="1">
      <c r="A20" s="71"/>
      <c r="B20" s="866"/>
      <c r="C20" s="70"/>
    </row>
    <row r="21" spans="1:3" ht="16.5" customHeight="1">
      <c r="A21" s="71"/>
      <c r="B21" s="438"/>
      <c r="C21" s="70"/>
    </row>
    <row r="22" spans="1:3" ht="16.5" customHeight="1">
      <c r="A22" s="71"/>
      <c r="B22" s="438" t="s">
        <v>485</v>
      </c>
      <c r="C22" s="70"/>
    </row>
    <row r="23" spans="1:3" ht="16.5" customHeight="1">
      <c r="A23" s="71"/>
      <c r="B23" s="438"/>
      <c r="C23" s="70"/>
    </row>
    <row r="24" spans="1:3" ht="16.5" customHeight="1">
      <c r="A24" s="71"/>
      <c r="B24" s="438"/>
      <c r="C24" s="70"/>
    </row>
    <row r="25" spans="1:3" ht="16.5" customHeight="1">
      <c r="A25" s="71"/>
      <c r="B25" s="438"/>
      <c r="C25" s="70"/>
    </row>
    <row r="26" spans="1:3" ht="11.25" customHeight="1">
      <c r="A26" s="71"/>
      <c r="B26" s="439"/>
      <c r="C26" s="70"/>
    </row>
    <row r="27" spans="1:3" ht="16.5" customHeight="1">
      <c r="A27" s="71"/>
      <c r="B27" s="440"/>
      <c r="C27" s="71"/>
    </row>
    <row r="28" spans="1:3" ht="16.5" customHeight="1">
      <c r="A28" s="71"/>
      <c r="B28" s="441" t="s">
        <v>500</v>
      </c>
      <c r="C28" s="71"/>
    </row>
    <row r="29" spans="1:4" ht="16.5" customHeight="1">
      <c r="A29" s="70"/>
      <c r="B29" s="70"/>
      <c r="C29" s="70"/>
      <c r="D29" s="61"/>
    </row>
    <row r="30" ht="15">
      <c r="D30" s="61"/>
    </row>
    <row r="31" ht="15">
      <c r="D31" s="61"/>
    </row>
    <row r="32" ht="15">
      <c r="D32" s="61"/>
    </row>
    <row r="33" ht="15">
      <c r="D33" s="61"/>
    </row>
  </sheetData>
  <sheetProtection/>
  <mergeCells count="1">
    <mergeCell ref="B19:B20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2" width="2.7109375" style="0" customWidth="1"/>
    <col min="3" max="3" width="12.28125" style="0" customWidth="1"/>
    <col min="4" max="18" width="7.7109375" style="0" customWidth="1"/>
    <col min="19" max="20" width="2.7109375" style="0" customWidth="1"/>
    <col min="21" max="21" width="8.8515625" style="0" bestFit="1" customWidth="1"/>
  </cols>
  <sheetData>
    <row r="1" spans="1:20" ht="18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69"/>
    </row>
    <row r="2" spans="1:20" ht="25.5" customHeight="1">
      <c r="A2" s="74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1"/>
      <c r="T2" s="70"/>
    </row>
    <row r="3" spans="1:20" ht="19.5" customHeight="1">
      <c r="A3" s="74"/>
      <c r="B3" s="111"/>
      <c r="C3" s="925" t="s">
        <v>466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112"/>
      <c r="T3" s="70"/>
    </row>
    <row r="4" spans="1:20" ht="28.5" customHeight="1">
      <c r="A4" s="74"/>
      <c r="B4" s="114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0"/>
      <c r="N4" s="150"/>
      <c r="O4" s="150"/>
      <c r="P4" s="350"/>
      <c r="Q4" s="350"/>
      <c r="R4" s="152" t="s">
        <v>57</v>
      </c>
      <c r="S4" s="122"/>
      <c r="T4" s="71"/>
    </row>
    <row r="5" spans="1:20" ht="19.5" customHeight="1">
      <c r="A5" s="74"/>
      <c r="B5" s="114"/>
      <c r="C5" s="926" t="s">
        <v>58</v>
      </c>
      <c r="D5" s="735">
        <v>2013</v>
      </c>
      <c r="E5" s="736">
        <v>2014</v>
      </c>
      <c r="F5" s="737">
        <v>2015</v>
      </c>
      <c r="G5" s="735">
        <v>2013</v>
      </c>
      <c r="H5" s="736">
        <v>2014</v>
      </c>
      <c r="I5" s="737">
        <v>2015</v>
      </c>
      <c r="J5" s="735">
        <v>2013</v>
      </c>
      <c r="K5" s="736">
        <v>2014</v>
      </c>
      <c r="L5" s="737">
        <v>2015</v>
      </c>
      <c r="M5" s="735">
        <v>2013</v>
      </c>
      <c r="N5" s="736">
        <v>2014</v>
      </c>
      <c r="O5" s="737">
        <v>2015</v>
      </c>
      <c r="P5" s="735">
        <v>2013</v>
      </c>
      <c r="Q5" s="736">
        <v>2014</v>
      </c>
      <c r="R5" s="736">
        <v>2015</v>
      </c>
      <c r="S5" s="122"/>
      <c r="T5" s="71"/>
    </row>
    <row r="6" spans="1:20" ht="19.5" customHeight="1">
      <c r="A6" s="74"/>
      <c r="B6" s="115"/>
      <c r="C6" s="927"/>
      <c r="D6" s="916" t="s">
        <v>59</v>
      </c>
      <c r="E6" s="917"/>
      <c r="F6" s="918"/>
      <c r="G6" s="738"/>
      <c r="H6" s="746" t="s">
        <v>455</v>
      </c>
      <c r="I6" s="740"/>
      <c r="J6" s="739"/>
      <c r="K6" s="746" t="s">
        <v>456</v>
      </c>
      <c r="L6" s="740"/>
      <c r="M6" s="734" t="s">
        <v>453</v>
      </c>
      <c r="N6" s="734"/>
      <c r="O6" s="734"/>
      <c r="P6" s="741" t="s">
        <v>454</v>
      </c>
      <c r="Q6" s="734"/>
      <c r="R6" s="734"/>
      <c r="S6" s="119"/>
      <c r="T6" s="71"/>
    </row>
    <row r="7" spans="1:20" ht="19.5" customHeight="1">
      <c r="A7" s="74"/>
      <c r="B7" s="115"/>
      <c r="C7" s="927"/>
      <c r="D7" s="916" t="s">
        <v>60</v>
      </c>
      <c r="E7" s="917"/>
      <c r="F7" s="918"/>
      <c r="G7" s="916" t="s">
        <v>61</v>
      </c>
      <c r="H7" s="917"/>
      <c r="I7" s="918"/>
      <c r="J7" s="734" t="s">
        <v>451</v>
      </c>
      <c r="K7" s="734"/>
      <c r="L7" s="742"/>
      <c r="M7" s="734" t="s">
        <v>452</v>
      </c>
      <c r="N7" s="734"/>
      <c r="O7" s="734"/>
      <c r="P7" s="741" t="s">
        <v>62</v>
      </c>
      <c r="Q7" s="734"/>
      <c r="R7" s="734"/>
      <c r="S7" s="119"/>
      <c r="T7" s="71"/>
    </row>
    <row r="8" spans="1:20" ht="19.5" customHeight="1">
      <c r="A8" s="74"/>
      <c r="B8" s="115"/>
      <c r="C8" s="928"/>
      <c r="D8" s="919" t="s">
        <v>63</v>
      </c>
      <c r="E8" s="920"/>
      <c r="F8" s="921"/>
      <c r="G8" s="920" t="s">
        <v>64</v>
      </c>
      <c r="H8" s="920"/>
      <c r="I8" s="920"/>
      <c r="J8" s="922" t="s">
        <v>65</v>
      </c>
      <c r="K8" s="923"/>
      <c r="L8" s="924"/>
      <c r="M8" s="920" t="s">
        <v>66</v>
      </c>
      <c r="N8" s="920"/>
      <c r="O8" s="920"/>
      <c r="P8" s="919" t="s">
        <v>66</v>
      </c>
      <c r="Q8" s="920"/>
      <c r="R8" s="920"/>
      <c r="S8" s="119"/>
      <c r="T8" s="71"/>
    </row>
    <row r="9" spans="1:20" ht="19.5" customHeight="1">
      <c r="A9" s="74"/>
      <c r="B9" s="115"/>
      <c r="C9" s="743" t="s">
        <v>67</v>
      </c>
      <c r="D9" s="13">
        <v>341.16</v>
      </c>
      <c r="E9" s="13">
        <v>289.44</v>
      </c>
      <c r="F9" s="259">
        <v>465.92</v>
      </c>
      <c r="G9" s="13">
        <v>267.21454545454543</v>
      </c>
      <c r="H9" s="13">
        <v>226.82</v>
      </c>
      <c r="I9" s="261">
        <v>283.29</v>
      </c>
      <c r="J9" s="13">
        <v>308.45454545454544</v>
      </c>
      <c r="K9" s="13">
        <v>244.45</v>
      </c>
      <c r="L9" s="261">
        <v>340</v>
      </c>
      <c r="M9" s="13">
        <v>271.1363636363636</v>
      </c>
      <c r="N9" s="13">
        <v>214.09</v>
      </c>
      <c r="O9" s="261">
        <v>273.81</v>
      </c>
      <c r="P9" s="13">
        <v>260.6818181818182</v>
      </c>
      <c r="Q9" s="13">
        <v>231.82</v>
      </c>
      <c r="R9" s="262">
        <v>280.95</v>
      </c>
      <c r="S9" s="119"/>
      <c r="T9" s="71"/>
    </row>
    <row r="10" spans="1:20" ht="19.5" customHeight="1">
      <c r="A10" s="74"/>
      <c r="B10" s="115"/>
      <c r="C10" s="744" t="s">
        <v>68</v>
      </c>
      <c r="D10" s="13">
        <v>317.72</v>
      </c>
      <c r="E10" s="13">
        <v>366.32</v>
      </c>
      <c r="F10" s="258">
        <v>459.99</v>
      </c>
      <c r="G10" s="13">
        <v>264.98</v>
      </c>
      <c r="H10" s="13">
        <v>243.48</v>
      </c>
      <c r="I10" s="258">
        <v>299.58</v>
      </c>
      <c r="J10" s="13">
        <v>303.33</v>
      </c>
      <c r="K10" s="13">
        <v>268.5</v>
      </c>
      <c r="L10" s="258">
        <v>328.33</v>
      </c>
      <c r="M10" s="13">
        <v>275</v>
      </c>
      <c r="N10" s="13">
        <v>236.25</v>
      </c>
      <c r="O10" s="258">
        <v>278.89</v>
      </c>
      <c r="P10" s="13">
        <v>265</v>
      </c>
      <c r="Q10" s="13">
        <v>243</v>
      </c>
      <c r="R10" s="262">
        <v>285</v>
      </c>
      <c r="S10" s="119"/>
      <c r="T10" s="71"/>
    </row>
    <row r="11" spans="1:20" ht="19.5" customHeight="1">
      <c r="A11" s="74"/>
      <c r="B11" s="115"/>
      <c r="C11" s="744" t="s">
        <v>69</v>
      </c>
      <c r="D11" s="13">
        <v>303.42</v>
      </c>
      <c r="E11" s="13">
        <v>437.24</v>
      </c>
      <c r="F11" s="258">
        <v>477.1</v>
      </c>
      <c r="G11" s="13">
        <v>253.2</v>
      </c>
      <c r="H11" s="13">
        <v>263.25</v>
      </c>
      <c r="I11" s="258">
        <v>303.44</v>
      </c>
      <c r="J11" s="13">
        <v>289.25</v>
      </c>
      <c r="K11" s="13">
        <v>332.63</v>
      </c>
      <c r="L11" s="258">
        <v>330</v>
      </c>
      <c r="M11" s="13">
        <v>269.95</v>
      </c>
      <c r="N11" s="13">
        <v>288.68</v>
      </c>
      <c r="O11" s="258">
        <v>290</v>
      </c>
      <c r="P11" s="13">
        <v>261</v>
      </c>
      <c r="Q11" s="13">
        <v>282.37</v>
      </c>
      <c r="R11" s="263">
        <v>280</v>
      </c>
      <c r="S11" s="119"/>
      <c r="T11" s="71"/>
    </row>
    <row r="12" spans="1:20" ht="19.5" customHeight="1">
      <c r="A12" s="74"/>
      <c r="B12" s="115"/>
      <c r="C12" s="744" t="s">
        <v>70</v>
      </c>
      <c r="D12" s="13">
        <v>300.51</v>
      </c>
      <c r="E12" s="13">
        <v>449.45</v>
      </c>
      <c r="F12" s="258">
        <v>445.69</v>
      </c>
      <c r="G12" s="13">
        <v>250.32</v>
      </c>
      <c r="H12" s="13">
        <v>256.77</v>
      </c>
      <c r="I12" s="258">
        <v>295.88</v>
      </c>
      <c r="J12" s="13">
        <v>280</v>
      </c>
      <c r="K12" s="13">
        <v>329.5</v>
      </c>
      <c r="L12" s="258">
        <v>330</v>
      </c>
      <c r="M12" s="13">
        <v>262</v>
      </c>
      <c r="N12" s="13">
        <v>278</v>
      </c>
      <c r="O12" s="258">
        <v>299</v>
      </c>
      <c r="P12" s="13">
        <v>255</v>
      </c>
      <c r="Q12" s="13">
        <v>265</v>
      </c>
      <c r="R12" s="263">
        <v>297.5</v>
      </c>
      <c r="S12" s="119"/>
      <c r="T12" s="71"/>
    </row>
    <row r="13" spans="1:21" ht="19.5" customHeight="1">
      <c r="A13" s="74"/>
      <c r="B13" s="115"/>
      <c r="C13" s="744" t="s">
        <v>71</v>
      </c>
      <c r="D13" s="13">
        <v>297.25</v>
      </c>
      <c r="E13" s="13">
        <v>429.28</v>
      </c>
      <c r="F13" s="258">
        <v>421.95</v>
      </c>
      <c r="G13" s="13">
        <v>250.88</v>
      </c>
      <c r="H13" s="13">
        <v>245.82</v>
      </c>
      <c r="I13" s="258">
        <v>293.33</v>
      </c>
      <c r="J13" s="13">
        <v>283.43</v>
      </c>
      <c r="K13" s="13">
        <v>342.14</v>
      </c>
      <c r="L13" s="258">
        <v>318</v>
      </c>
      <c r="M13" s="13">
        <v>264.52</v>
      </c>
      <c r="N13" s="13">
        <v>279.05</v>
      </c>
      <c r="O13" s="258">
        <v>292</v>
      </c>
      <c r="P13" s="13">
        <v>244.76</v>
      </c>
      <c r="Q13" s="13">
        <v>258.1</v>
      </c>
      <c r="R13" s="263">
        <v>292</v>
      </c>
      <c r="S13" s="119"/>
      <c r="T13" s="71"/>
      <c r="U13" s="61"/>
    </row>
    <row r="14" spans="1:21" ht="19.5" customHeight="1">
      <c r="A14" s="74"/>
      <c r="B14" s="115"/>
      <c r="C14" s="744" t="s">
        <v>72</v>
      </c>
      <c r="D14" s="13">
        <v>285.71</v>
      </c>
      <c r="E14" s="13">
        <v>396.74</v>
      </c>
      <c r="F14" s="661">
        <v>424.02</v>
      </c>
      <c r="G14" s="13">
        <v>245.09</v>
      </c>
      <c r="H14" s="13">
        <v>235.14</v>
      </c>
      <c r="I14" s="661">
        <v>301.03</v>
      </c>
      <c r="J14" s="13">
        <v>278</v>
      </c>
      <c r="K14" s="13">
        <v>318</v>
      </c>
      <c r="L14" s="661">
        <v>315.24</v>
      </c>
      <c r="M14" s="13">
        <v>263</v>
      </c>
      <c r="N14" s="13">
        <v>262.25</v>
      </c>
      <c r="O14" s="661">
        <v>280</v>
      </c>
      <c r="P14" s="13">
        <v>241.2</v>
      </c>
      <c r="Q14" s="13">
        <v>241.2</v>
      </c>
      <c r="R14" s="660">
        <v>287.62</v>
      </c>
      <c r="S14" s="119"/>
      <c r="T14" s="71"/>
      <c r="U14" s="61"/>
    </row>
    <row r="15" spans="1:21" ht="19.5" customHeight="1">
      <c r="A15" s="74"/>
      <c r="B15" s="115"/>
      <c r="C15" s="744" t="s">
        <v>73</v>
      </c>
      <c r="D15" s="13">
        <v>287.57</v>
      </c>
      <c r="E15" s="13">
        <v>387.87</v>
      </c>
      <c r="F15" s="661">
        <v>414.5</v>
      </c>
      <c r="G15" s="13">
        <v>248.91</v>
      </c>
      <c r="H15" s="13">
        <v>242.44</v>
      </c>
      <c r="I15" s="661">
        <v>307.41</v>
      </c>
      <c r="J15" s="13">
        <v>272</v>
      </c>
      <c r="K15" s="13">
        <v>300.43</v>
      </c>
      <c r="L15" s="661">
        <v>320</v>
      </c>
      <c r="M15" s="13">
        <v>258</v>
      </c>
      <c r="N15" s="13">
        <v>243.91</v>
      </c>
      <c r="O15" s="661">
        <v>280</v>
      </c>
      <c r="P15" s="13">
        <v>240</v>
      </c>
      <c r="Q15" s="13">
        <v>239.48</v>
      </c>
      <c r="R15" s="660">
        <v>297.39</v>
      </c>
      <c r="S15" s="119"/>
      <c r="T15" s="71"/>
      <c r="U15" s="61"/>
    </row>
    <row r="16" spans="1:21" ht="19.5" customHeight="1">
      <c r="A16" s="74"/>
      <c r="B16" s="115"/>
      <c r="C16" s="744" t="s">
        <v>74</v>
      </c>
      <c r="D16" s="13">
        <v>286.17</v>
      </c>
      <c r="E16" s="13">
        <v>437.19</v>
      </c>
      <c r="F16" s="661">
        <v>455.5</v>
      </c>
      <c r="G16" s="13">
        <v>253.22</v>
      </c>
      <c r="H16" s="13">
        <v>248.42</v>
      </c>
      <c r="I16" s="661">
        <v>324.95</v>
      </c>
      <c r="J16" s="13">
        <v>272</v>
      </c>
      <c r="K16" s="13">
        <v>315.71</v>
      </c>
      <c r="L16" s="661">
        <v>335</v>
      </c>
      <c r="M16" s="13">
        <v>258</v>
      </c>
      <c r="N16" s="13">
        <v>272.86</v>
      </c>
      <c r="O16" s="661">
        <v>292</v>
      </c>
      <c r="P16" s="13">
        <v>240</v>
      </c>
      <c r="Q16" s="13">
        <v>251.43</v>
      </c>
      <c r="R16" s="660">
        <v>313.96</v>
      </c>
      <c r="S16" s="119"/>
      <c r="T16" s="70"/>
      <c r="U16" s="61"/>
    </row>
    <row r="17" spans="1:21" ht="19.5" customHeight="1">
      <c r="A17" s="74"/>
      <c r="B17" s="115"/>
      <c r="C17" s="744" t="s">
        <v>75</v>
      </c>
      <c r="D17" s="13">
        <v>273.9</v>
      </c>
      <c r="E17" s="13">
        <v>433.48</v>
      </c>
      <c r="F17" s="258">
        <v>456.95</v>
      </c>
      <c r="G17" s="13">
        <v>236.24</v>
      </c>
      <c r="H17" s="13">
        <v>250.1</v>
      </c>
      <c r="I17" s="258">
        <v>340.62</v>
      </c>
      <c r="J17" s="13">
        <v>258.57</v>
      </c>
      <c r="K17" s="13">
        <v>324.32</v>
      </c>
      <c r="L17" s="802" t="s">
        <v>477</v>
      </c>
      <c r="M17" s="13">
        <v>230.81</v>
      </c>
      <c r="N17" s="13">
        <v>272.73</v>
      </c>
      <c r="O17" s="802" t="s">
        <v>479</v>
      </c>
      <c r="P17" s="13">
        <v>240.95</v>
      </c>
      <c r="Q17" s="13">
        <v>255.45</v>
      </c>
      <c r="R17" s="803" t="s">
        <v>480</v>
      </c>
      <c r="S17" s="119"/>
      <c r="T17" s="70"/>
      <c r="U17" s="61"/>
    </row>
    <row r="18" spans="1:21" ht="19.5" customHeight="1">
      <c r="A18" s="74"/>
      <c r="B18" s="115"/>
      <c r="C18" s="744" t="s">
        <v>76</v>
      </c>
      <c r="D18" s="13">
        <v>253.94</v>
      </c>
      <c r="E18" s="13">
        <v>480.13</v>
      </c>
      <c r="F18" s="258">
        <v>478.11</v>
      </c>
      <c r="G18" s="13">
        <v>205.23</v>
      </c>
      <c r="H18" s="13">
        <v>264.25</v>
      </c>
      <c r="I18" s="258">
        <v>363.9</v>
      </c>
      <c r="J18" s="13">
        <v>243.48</v>
      </c>
      <c r="K18" s="13">
        <v>338.7</v>
      </c>
      <c r="L18" s="258">
        <v>502.86</v>
      </c>
      <c r="M18" s="13">
        <v>197.22</v>
      </c>
      <c r="N18" s="13">
        <v>284.35</v>
      </c>
      <c r="O18" s="258">
        <v>334.14</v>
      </c>
      <c r="P18" s="13">
        <v>240.43</v>
      </c>
      <c r="Q18" s="13">
        <v>272.61</v>
      </c>
      <c r="R18" s="263">
        <v>351.29</v>
      </c>
      <c r="S18" s="119"/>
      <c r="T18" s="70"/>
      <c r="U18" s="61"/>
    </row>
    <row r="19" spans="1:21" ht="19.5" customHeight="1">
      <c r="A19" s="74"/>
      <c r="B19" s="115"/>
      <c r="C19" s="744" t="s">
        <v>77</v>
      </c>
      <c r="D19" s="13">
        <v>247.73</v>
      </c>
      <c r="E19" s="13">
        <v>460.96</v>
      </c>
      <c r="F19" s="258"/>
      <c r="G19" s="13">
        <v>198.83</v>
      </c>
      <c r="H19" s="13">
        <v>277.02</v>
      </c>
      <c r="I19" s="258"/>
      <c r="J19" s="13">
        <v>224</v>
      </c>
      <c r="K19" s="13">
        <v>345.5</v>
      </c>
      <c r="L19" s="258"/>
      <c r="M19" s="13">
        <v>183</v>
      </c>
      <c r="N19" s="13">
        <v>281.75</v>
      </c>
      <c r="O19" s="258"/>
      <c r="P19" s="13">
        <v>202.5</v>
      </c>
      <c r="Q19" s="13">
        <v>280.75</v>
      </c>
      <c r="R19" s="263"/>
      <c r="S19" s="119"/>
      <c r="T19" s="70"/>
      <c r="U19" s="61"/>
    </row>
    <row r="20" spans="1:21" ht="19.5" customHeight="1">
      <c r="A20" s="74"/>
      <c r="B20" s="115"/>
      <c r="C20" s="744" t="s">
        <v>78</v>
      </c>
      <c r="D20" s="205">
        <v>272.1</v>
      </c>
      <c r="E20" s="205">
        <v>455.2</v>
      </c>
      <c r="F20" s="260"/>
      <c r="G20" s="205">
        <v>223.11</v>
      </c>
      <c r="H20" s="205">
        <v>275.25</v>
      </c>
      <c r="I20" s="260"/>
      <c r="J20" s="205">
        <v>225.26</v>
      </c>
      <c r="K20" s="205">
        <v>340.5</v>
      </c>
      <c r="L20" s="260"/>
      <c r="M20" s="205">
        <v>179.47</v>
      </c>
      <c r="N20" s="205">
        <v>290</v>
      </c>
      <c r="O20" s="260"/>
      <c r="P20" s="205">
        <v>207.63</v>
      </c>
      <c r="Q20" s="205">
        <v>285</v>
      </c>
      <c r="R20" s="264"/>
      <c r="S20" s="119"/>
      <c r="T20" s="70"/>
      <c r="U20" s="61"/>
    </row>
    <row r="21" spans="1:21" ht="19.5" customHeight="1">
      <c r="A21" s="74"/>
      <c r="B21" s="115"/>
      <c r="C21" s="745" t="s">
        <v>79</v>
      </c>
      <c r="D21" s="351">
        <f aca="true" t="shared" si="0" ref="D21:R21">AVERAGE(D9:D20)</f>
        <v>288.9316666666667</v>
      </c>
      <c r="E21" s="351">
        <f t="shared" si="0"/>
        <v>418.60833333333335</v>
      </c>
      <c r="F21" s="351">
        <f t="shared" si="0"/>
        <v>449.97299999999996</v>
      </c>
      <c r="G21" s="351">
        <f t="shared" si="0"/>
        <v>241.4353787878788</v>
      </c>
      <c r="H21" s="351">
        <f t="shared" si="0"/>
        <v>252.39666666666665</v>
      </c>
      <c r="I21" s="352">
        <f t="shared" si="0"/>
        <v>311.34299999999996</v>
      </c>
      <c r="J21" s="351">
        <f t="shared" si="0"/>
        <v>269.81454545454545</v>
      </c>
      <c r="K21" s="351">
        <f t="shared" si="0"/>
        <v>316.6983333333333</v>
      </c>
      <c r="L21" s="352">
        <f t="shared" si="0"/>
        <v>346.6033333333333</v>
      </c>
      <c r="M21" s="351">
        <f t="shared" si="0"/>
        <v>242.67553030303023</v>
      </c>
      <c r="N21" s="351">
        <f t="shared" si="0"/>
        <v>266.99333333333334</v>
      </c>
      <c r="O21" s="352">
        <f t="shared" si="0"/>
        <v>291.0933333333333</v>
      </c>
      <c r="P21" s="351">
        <f t="shared" si="0"/>
        <v>241.59598484848485</v>
      </c>
      <c r="Q21" s="351">
        <f t="shared" si="0"/>
        <v>258.85083333333336</v>
      </c>
      <c r="R21" s="351">
        <f t="shared" si="0"/>
        <v>298.4122222222222</v>
      </c>
      <c r="S21" s="119"/>
      <c r="T21" s="70"/>
      <c r="U21" s="61"/>
    </row>
    <row r="22" spans="1:21" ht="19.5" customHeight="1">
      <c r="A22" s="74"/>
      <c r="B22" s="133"/>
      <c r="C22" s="149" t="s">
        <v>478</v>
      </c>
      <c r="D22" s="353"/>
      <c r="E22" s="353"/>
      <c r="F22" s="353"/>
      <c r="G22" s="353"/>
      <c r="H22" s="353"/>
      <c r="I22" s="353"/>
      <c r="J22" s="354"/>
      <c r="K22" s="354"/>
      <c r="L22" s="353"/>
      <c r="M22" s="354"/>
      <c r="N22" s="354"/>
      <c r="O22" s="353"/>
      <c r="P22" s="354"/>
      <c r="Q22" s="354"/>
      <c r="R22" s="353"/>
      <c r="S22" s="145"/>
      <c r="T22" s="70"/>
      <c r="U22" s="61"/>
    </row>
    <row r="23" spans="1:21" ht="19.5" customHeight="1">
      <c r="A23" s="74"/>
      <c r="B23" s="206"/>
      <c r="C23" s="747" t="s">
        <v>457</v>
      </c>
      <c r="D23" s="355"/>
      <c r="E23" s="355"/>
      <c r="F23" s="355"/>
      <c r="G23" s="355"/>
      <c r="H23" s="355"/>
      <c r="I23" s="355"/>
      <c r="J23" s="356"/>
      <c r="K23" s="356"/>
      <c r="L23" s="355"/>
      <c r="M23" s="356"/>
      <c r="N23" s="356"/>
      <c r="O23" s="355"/>
      <c r="P23" s="356"/>
      <c r="Q23" s="356"/>
      <c r="R23" s="355"/>
      <c r="S23" s="207"/>
      <c r="T23" s="70"/>
      <c r="U23" s="61"/>
    </row>
    <row r="24" spans="1:21" ht="18" customHeight="1">
      <c r="A24" s="70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70"/>
      <c r="U24" s="61"/>
    </row>
    <row r="25" ht="15">
      <c r="U25" s="61"/>
    </row>
  </sheetData>
  <sheetProtection/>
  <mergeCells count="11"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2.28125" style="0" customWidth="1"/>
    <col min="4" max="4" width="44.57421875" style="0" customWidth="1"/>
    <col min="5" max="5" width="14.7109375" style="0" customWidth="1"/>
    <col min="6" max="6" width="9.7109375" style="0" customWidth="1"/>
    <col min="7" max="7" width="14.7109375" style="0" customWidth="1"/>
    <col min="8" max="8" width="9.7109375" style="0" customWidth="1"/>
    <col min="9" max="9" width="13.421875" style="0" customWidth="1"/>
    <col min="10" max="10" width="5.7109375" style="0" customWidth="1"/>
    <col min="11" max="11" width="2.7109375" style="0" customWidth="1"/>
    <col min="14" max="14" width="10.421875" style="0" bestFit="1" customWidth="1"/>
  </cols>
  <sheetData>
    <row r="1" spans="1:11" ht="15" customHeight="1">
      <c r="A1" s="385" t="s">
        <v>347</v>
      </c>
      <c r="B1" s="331"/>
      <c r="C1" s="331"/>
      <c r="D1" s="331"/>
      <c r="E1" s="331"/>
      <c r="F1" s="331"/>
      <c r="G1" s="331"/>
      <c r="H1" s="331"/>
      <c r="I1" s="331"/>
      <c r="J1" s="71"/>
      <c r="K1" s="70"/>
    </row>
    <row r="2" spans="1:11" ht="18" customHeight="1">
      <c r="A2" s="71"/>
      <c r="B2" s="930"/>
      <c r="C2" s="931"/>
      <c r="D2" s="931"/>
      <c r="E2" s="931"/>
      <c r="F2" s="931"/>
      <c r="G2" s="931"/>
      <c r="H2" s="931"/>
      <c r="I2" s="931"/>
      <c r="J2" s="932"/>
      <c r="K2" s="70"/>
    </row>
    <row r="3" spans="1:11" ht="18" customHeight="1">
      <c r="A3" s="71"/>
      <c r="B3" s="941" t="s">
        <v>80</v>
      </c>
      <c r="C3" s="942"/>
      <c r="D3" s="942"/>
      <c r="E3" s="942"/>
      <c r="F3" s="942"/>
      <c r="G3" s="942"/>
      <c r="H3" s="942"/>
      <c r="I3" s="942"/>
      <c r="J3" s="943"/>
      <c r="K3" s="70"/>
    </row>
    <row r="4" spans="1:11" ht="18" customHeight="1">
      <c r="A4" s="71"/>
      <c r="B4" s="941" t="s">
        <v>386</v>
      </c>
      <c r="C4" s="942"/>
      <c r="D4" s="942"/>
      <c r="E4" s="942"/>
      <c r="F4" s="942"/>
      <c r="G4" s="942"/>
      <c r="H4" s="942"/>
      <c r="I4" s="942"/>
      <c r="J4" s="943"/>
      <c r="K4" s="70"/>
    </row>
    <row r="5" spans="1:11" ht="15" customHeight="1">
      <c r="A5" s="71"/>
      <c r="B5" s="458"/>
      <c r="C5" s="933" t="s">
        <v>81</v>
      </c>
      <c r="D5" s="934"/>
      <c r="E5" s="937" t="s">
        <v>340</v>
      </c>
      <c r="F5" s="938"/>
      <c r="G5" s="937" t="s">
        <v>341</v>
      </c>
      <c r="H5" s="938"/>
      <c r="I5" s="939" t="s">
        <v>82</v>
      </c>
      <c r="J5" s="146"/>
      <c r="K5" s="70"/>
    </row>
    <row r="6" spans="1:11" ht="15" customHeight="1">
      <c r="A6" s="71"/>
      <c r="B6" s="458"/>
      <c r="C6" s="935"/>
      <c r="D6" s="936"/>
      <c r="E6" s="15" t="s">
        <v>83</v>
      </c>
      <c r="F6" s="14" t="s">
        <v>84</v>
      </c>
      <c r="G6" s="15" t="s">
        <v>85</v>
      </c>
      <c r="H6" s="14" t="s">
        <v>84</v>
      </c>
      <c r="I6" s="940"/>
      <c r="J6" s="146"/>
      <c r="K6" s="70"/>
    </row>
    <row r="7" spans="1:11" ht="15" customHeight="1">
      <c r="A7" s="71"/>
      <c r="B7" s="338"/>
      <c r="C7" s="459" t="s">
        <v>23</v>
      </c>
      <c r="D7" s="193"/>
      <c r="E7" s="200">
        <v>31403497</v>
      </c>
      <c r="F7" s="197">
        <f aca="true" t="shared" si="0" ref="F7:F30">E7/$E$30</f>
        <v>0.32459105745168726</v>
      </c>
      <c r="G7" s="200">
        <v>30961266</v>
      </c>
      <c r="H7" s="197">
        <f aca="true" t="shared" si="1" ref="H7:H30">G7/$G$30</f>
        <v>0.3097124369586906</v>
      </c>
      <c r="I7" s="460">
        <f>(E7/G7-1)*100</f>
        <v>1.4283362960674895</v>
      </c>
      <c r="J7" s="146"/>
      <c r="K7" s="70"/>
    </row>
    <row r="8" spans="1:11" ht="15" customHeight="1">
      <c r="A8" s="71"/>
      <c r="B8" s="338"/>
      <c r="C8" s="459" t="s">
        <v>86</v>
      </c>
      <c r="D8" s="194"/>
      <c r="E8" s="201">
        <v>17429297</v>
      </c>
      <c r="F8" s="198">
        <f t="shared" si="0"/>
        <v>0.1801517182583048</v>
      </c>
      <c r="G8" s="201">
        <v>16802628</v>
      </c>
      <c r="H8" s="198">
        <f t="shared" si="1"/>
        <v>0.1680804287909393</v>
      </c>
      <c r="I8" s="460">
        <f aca="true" t="shared" si="2" ref="I8:I30">(E8/G8-1)*100</f>
        <v>3.7295892047363166</v>
      </c>
      <c r="J8" s="146"/>
      <c r="K8" s="70"/>
    </row>
    <row r="9" spans="1:14" ht="15" customHeight="1">
      <c r="A9" s="71"/>
      <c r="B9" s="338"/>
      <c r="C9" s="459" t="s">
        <v>87</v>
      </c>
      <c r="D9" s="194"/>
      <c r="E9" s="201">
        <v>10366872</v>
      </c>
      <c r="F9" s="198">
        <f t="shared" si="0"/>
        <v>0.10715347863794557</v>
      </c>
      <c r="G9" s="201">
        <v>13717911</v>
      </c>
      <c r="H9" s="198">
        <f t="shared" si="1"/>
        <v>0.1372233178640831</v>
      </c>
      <c r="I9" s="460">
        <f t="shared" si="2"/>
        <v>-24.42820193249541</v>
      </c>
      <c r="J9" s="146"/>
      <c r="K9" s="70"/>
      <c r="N9" s="377"/>
    </row>
    <row r="10" spans="1:14" ht="15" customHeight="1">
      <c r="A10" s="71"/>
      <c r="B10" s="338"/>
      <c r="C10" s="459" t="s">
        <v>88</v>
      </c>
      <c r="D10" s="194"/>
      <c r="E10" s="201">
        <v>9950706</v>
      </c>
      <c r="F10" s="198">
        <f t="shared" si="0"/>
        <v>0.10285192706184439</v>
      </c>
      <c r="G10" s="201">
        <v>9634768</v>
      </c>
      <c r="H10" s="198">
        <f t="shared" si="1"/>
        <v>0.09637872937145431</v>
      </c>
      <c r="I10" s="460">
        <f t="shared" si="2"/>
        <v>3.279144863685346</v>
      </c>
      <c r="J10" s="146"/>
      <c r="K10" s="70"/>
      <c r="N10" s="377"/>
    </row>
    <row r="11" spans="1:14" ht="15" customHeight="1">
      <c r="A11" s="71"/>
      <c r="B11" s="338"/>
      <c r="C11" s="461" t="s">
        <v>89</v>
      </c>
      <c r="D11" s="195"/>
      <c r="E11" s="378">
        <v>6661875</v>
      </c>
      <c r="F11" s="199">
        <f t="shared" si="0"/>
        <v>0.06885809726416643</v>
      </c>
      <c r="G11" s="378">
        <v>5275717</v>
      </c>
      <c r="H11" s="199">
        <f t="shared" si="1"/>
        <v>0.05277417172716362</v>
      </c>
      <c r="I11" s="462">
        <f t="shared" si="2"/>
        <v>26.274305464072455</v>
      </c>
      <c r="J11" s="146"/>
      <c r="K11" s="70"/>
      <c r="N11" s="377"/>
    </row>
    <row r="12" spans="1:14" ht="15" customHeight="1">
      <c r="A12" s="71"/>
      <c r="B12" s="338"/>
      <c r="C12" s="461"/>
      <c r="D12" s="464" t="s">
        <v>90</v>
      </c>
      <c r="E12" s="378">
        <v>6041101</v>
      </c>
      <c r="F12" s="199">
        <f t="shared" si="0"/>
        <v>0.0624416879993475</v>
      </c>
      <c r="G12" s="378">
        <v>4582237</v>
      </c>
      <c r="H12" s="199">
        <f t="shared" si="1"/>
        <v>0.04583713689202113</v>
      </c>
      <c r="I12" s="460">
        <f t="shared" si="2"/>
        <v>31.837375500219657</v>
      </c>
      <c r="J12" s="146"/>
      <c r="K12" s="70"/>
      <c r="N12" s="377"/>
    </row>
    <row r="13" spans="1:14" ht="15" customHeight="1">
      <c r="A13" s="71"/>
      <c r="B13" s="338"/>
      <c r="C13" s="461"/>
      <c r="D13" s="464" t="s">
        <v>91</v>
      </c>
      <c r="E13" s="378">
        <v>563324</v>
      </c>
      <c r="F13" s="199">
        <f t="shared" si="0"/>
        <v>0.005822597809661588</v>
      </c>
      <c r="G13" s="378">
        <v>649766</v>
      </c>
      <c r="H13" s="199">
        <f t="shared" si="1"/>
        <v>0.00649975396073599</v>
      </c>
      <c r="I13" s="460">
        <f t="shared" si="2"/>
        <v>-13.30355851183349</v>
      </c>
      <c r="J13" s="146"/>
      <c r="K13" s="70"/>
      <c r="N13" s="377"/>
    </row>
    <row r="14" spans="1:11" ht="15" customHeight="1">
      <c r="A14" s="71"/>
      <c r="B14" s="338"/>
      <c r="C14" s="461"/>
      <c r="D14" s="464" t="s">
        <v>92</v>
      </c>
      <c r="E14" s="378">
        <v>11603</v>
      </c>
      <c r="F14" s="199">
        <f t="shared" si="0"/>
        <v>0.0001199302752687679</v>
      </c>
      <c r="G14" s="378">
        <v>15861</v>
      </c>
      <c r="H14" s="199">
        <f t="shared" si="1"/>
        <v>0.00015866111426457148</v>
      </c>
      <c r="I14" s="460">
        <f t="shared" si="2"/>
        <v>-26.84572221171426</v>
      </c>
      <c r="J14" s="146"/>
      <c r="K14" s="70"/>
    </row>
    <row r="15" spans="1:11" ht="15" customHeight="1">
      <c r="A15" s="71"/>
      <c r="B15" s="338"/>
      <c r="C15" s="461"/>
      <c r="D15" s="464" t="s">
        <v>93</v>
      </c>
      <c r="E15" s="378">
        <v>45831</v>
      </c>
      <c r="F15" s="199">
        <f t="shared" si="0"/>
        <v>0.00047371580158949426</v>
      </c>
      <c r="G15" s="378">
        <v>27852</v>
      </c>
      <c r="H15" s="199">
        <f t="shared" si="1"/>
        <v>0.0002786097569192891</v>
      </c>
      <c r="I15" s="460">
        <f t="shared" si="2"/>
        <v>64.55191727703576</v>
      </c>
      <c r="J15" s="146"/>
      <c r="K15" s="70"/>
    </row>
    <row r="16" spans="1:11" ht="15" customHeight="1">
      <c r="A16" s="71"/>
      <c r="B16" s="338"/>
      <c r="C16" s="461"/>
      <c r="D16" s="464" t="s">
        <v>94</v>
      </c>
      <c r="E16" s="378">
        <v>16</v>
      </c>
      <c r="F16" s="199">
        <f t="shared" si="0"/>
        <v>1.6537829908646784E-07</v>
      </c>
      <c r="G16" s="378">
        <v>1</v>
      </c>
      <c r="H16" s="199">
        <f t="shared" si="1"/>
        <v>1.0003222638205123E-08</v>
      </c>
      <c r="I16" s="460">
        <f t="shared" si="2"/>
        <v>1500</v>
      </c>
      <c r="J16" s="146"/>
      <c r="K16" s="70"/>
    </row>
    <row r="17" spans="1:11" ht="15" customHeight="1">
      <c r="A17" s="71"/>
      <c r="B17" s="338"/>
      <c r="C17" s="459" t="s">
        <v>95</v>
      </c>
      <c r="D17" s="194"/>
      <c r="E17" s="201">
        <v>4641435</v>
      </c>
      <c r="F17" s="198">
        <f t="shared" si="0"/>
        <v>0.04797453910127499</v>
      </c>
      <c r="G17" s="201">
        <v>7252065</v>
      </c>
      <c r="H17" s="198">
        <f t="shared" si="1"/>
        <v>0.07254402078173504</v>
      </c>
      <c r="I17" s="460">
        <f t="shared" si="2"/>
        <v>-35.99843630745174</v>
      </c>
      <c r="J17" s="146"/>
      <c r="K17" s="70"/>
    </row>
    <row r="18" spans="1:11" ht="15" customHeight="1">
      <c r="A18" s="71"/>
      <c r="B18" s="338"/>
      <c r="C18" s="459" t="s">
        <v>96</v>
      </c>
      <c r="D18" s="194"/>
      <c r="E18" s="201">
        <v>3449009</v>
      </c>
      <c r="F18" s="198">
        <f t="shared" si="0"/>
        <v>0.035649452622119965</v>
      </c>
      <c r="G18" s="201">
        <v>3026777</v>
      </c>
      <c r="H18" s="198">
        <f t="shared" si="1"/>
        <v>0.03027752420719859</v>
      </c>
      <c r="I18" s="460">
        <f t="shared" si="2"/>
        <v>13.949887950119887</v>
      </c>
      <c r="J18" s="146"/>
      <c r="K18" s="70"/>
    </row>
    <row r="19" spans="1:11" ht="15" customHeight="1">
      <c r="A19" s="71"/>
      <c r="B19" s="338"/>
      <c r="C19" s="459" t="s">
        <v>97</v>
      </c>
      <c r="D19" s="194"/>
      <c r="E19" s="201">
        <v>2501868</v>
      </c>
      <c r="F19" s="198">
        <f t="shared" si="0"/>
        <v>0.025859667148678947</v>
      </c>
      <c r="G19" s="201">
        <v>3272138</v>
      </c>
      <c r="H19" s="198">
        <f t="shared" si="1"/>
        <v>0.03273192491693124</v>
      </c>
      <c r="I19" s="460">
        <f t="shared" si="2"/>
        <v>-23.540266333510385</v>
      </c>
      <c r="J19" s="146"/>
      <c r="K19" s="70"/>
    </row>
    <row r="20" spans="1:11" ht="15" customHeight="1">
      <c r="A20" s="71"/>
      <c r="B20" s="338"/>
      <c r="C20" s="459" t="s">
        <v>98</v>
      </c>
      <c r="D20" s="194"/>
      <c r="E20" s="201">
        <v>2168269</v>
      </c>
      <c r="F20" s="198">
        <f t="shared" si="0"/>
        <v>0.022411539948869786</v>
      </c>
      <c r="G20" s="201">
        <v>2460180</v>
      </c>
      <c r="H20" s="198">
        <f t="shared" si="1"/>
        <v>0.024609728270059483</v>
      </c>
      <c r="I20" s="460">
        <f t="shared" si="2"/>
        <v>-11.865432610621983</v>
      </c>
      <c r="J20" s="146"/>
      <c r="K20" s="70"/>
    </row>
    <row r="21" spans="1:11" ht="15" customHeight="1">
      <c r="A21" s="71"/>
      <c r="B21" s="338"/>
      <c r="C21" s="459" t="s">
        <v>99</v>
      </c>
      <c r="D21" s="194"/>
      <c r="E21" s="201">
        <v>1841766</v>
      </c>
      <c r="F21" s="198">
        <f t="shared" si="0"/>
        <v>0.01903675802470547</v>
      </c>
      <c r="G21" s="201">
        <v>1591836</v>
      </c>
      <c r="H21" s="198">
        <f t="shared" si="1"/>
        <v>0.01592348991150989</v>
      </c>
      <c r="I21" s="460">
        <f t="shared" si="2"/>
        <v>15.700738015725246</v>
      </c>
      <c r="J21" s="146"/>
      <c r="K21" s="70"/>
    </row>
    <row r="22" spans="1:11" ht="15" customHeight="1">
      <c r="A22" s="71"/>
      <c r="B22" s="338"/>
      <c r="C22" s="459" t="s">
        <v>100</v>
      </c>
      <c r="D22" s="194"/>
      <c r="E22" s="201">
        <v>841296</v>
      </c>
      <c r="F22" s="198">
        <f t="shared" si="0"/>
        <v>0.008695756344265566</v>
      </c>
      <c r="G22" s="201">
        <v>877606</v>
      </c>
      <c r="H22" s="198">
        <f t="shared" si="1"/>
        <v>0.008778888206624647</v>
      </c>
      <c r="I22" s="460">
        <f t="shared" si="2"/>
        <v>-4.137391950374081</v>
      </c>
      <c r="J22" s="146"/>
      <c r="K22" s="70"/>
    </row>
    <row r="23" spans="1:11" ht="15" customHeight="1">
      <c r="A23" s="71"/>
      <c r="B23" s="463"/>
      <c r="C23" s="459" t="s">
        <v>101</v>
      </c>
      <c r="D23" s="194"/>
      <c r="E23" s="201">
        <v>742199</v>
      </c>
      <c r="F23" s="198">
        <f t="shared" si="0"/>
        <v>0.007671475512729834</v>
      </c>
      <c r="G23" s="201">
        <v>782598</v>
      </c>
      <c r="H23" s="198">
        <f t="shared" si="1"/>
        <v>0.007828502030214055</v>
      </c>
      <c r="I23" s="460">
        <f t="shared" si="2"/>
        <v>-5.1621649940326915</v>
      </c>
      <c r="J23" s="146"/>
      <c r="K23" s="70"/>
    </row>
    <row r="24" spans="1:11" ht="15" customHeight="1">
      <c r="A24" s="70"/>
      <c r="B24" s="463"/>
      <c r="C24" s="459" t="s">
        <v>102</v>
      </c>
      <c r="D24" s="194"/>
      <c r="E24" s="201">
        <v>485415</v>
      </c>
      <c r="F24" s="198">
        <f t="shared" si="0"/>
        <v>0.0050173191906911115</v>
      </c>
      <c r="G24" s="201">
        <v>362613</v>
      </c>
      <c r="H24" s="198">
        <f t="shared" si="1"/>
        <v>0.0036272985705074747</v>
      </c>
      <c r="I24" s="460">
        <f t="shared" si="2"/>
        <v>33.865856988028554</v>
      </c>
      <c r="J24" s="146"/>
      <c r="K24" s="70"/>
    </row>
    <row r="25" spans="1:11" ht="15" customHeight="1">
      <c r="A25" s="70"/>
      <c r="B25" s="155"/>
      <c r="C25" s="459" t="s">
        <v>103</v>
      </c>
      <c r="D25" s="194"/>
      <c r="E25" s="201">
        <v>428043</v>
      </c>
      <c r="F25" s="198">
        <f t="shared" si="0"/>
        <v>0.00442431395474181</v>
      </c>
      <c r="G25" s="201">
        <v>459544</v>
      </c>
      <c r="H25" s="198">
        <f t="shared" si="1"/>
        <v>0.004596920944051335</v>
      </c>
      <c r="I25" s="460">
        <f t="shared" si="2"/>
        <v>-6.854838709677424</v>
      </c>
      <c r="J25" s="146"/>
      <c r="K25" s="70"/>
    </row>
    <row r="26" spans="1:11" ht="15" customHeight="1">
      <c r="A26" s="70"/>
      <c r="B26" s="190"/>
      <c r="C26" s="459" t="s">
        <v>104</v>
      </c>
      <c r="D26" s="194"/>
      <c r="E26" s="201">
        <v>346184</v>
      </c>
      <c r="F26" s="198">
        <f t="shared" si="0"/>
        <v>0.0035782075681843615</v>
      </c>
      <c r="G26" s="201">
        <v>117728</v>
      </c>
      <c r="H26" s="198">
        <f t="shared" si="1"/>
        <v>0.0011776593947506128</v>
      </c>
      <c r="I26" s="460">
        <f t="shared" si="2"/>
        <v>194.05409078553956</v>
      </c>
      <c r="J26" s="146"/>
      <c r="K26" s="70"/>
    </row>
    <row r="27" spans="1:11" ht="15" customHeight="1">
      <c r="A27" s="70"/>
      <c r="B27" s="190"/>
      <c r="C27" s="459" t="s">
        <v>105</v>
      </c>
      <c r="D27" s="194"/>
      <c r="E27" s="201">
        <v>337424</v>
      </c>
      <c r="F27" s="198">
        <f t="shared" si="0"/>
        <v>0.0034876629494345205</v>
      </c>
      <c r="G27" s="201">
        <v>307027</v>
      </c>
      <c r="H27" s="198">
        <f t="shared" si="1"/>
        <v>0.0030712594369402047</v>
      </c>
      <c r="I27" s="460">
        <f t="shared" si="2"/>
        <v>9.900432209545084</v>
      </c>
      <c r="J27" s="146"/>
      <c r="K27" s="70"/>
    </row>
    <row r="28" spans="1:11" ht="15" customHeight="1">
      <c r="A28" s="70"/>
      <c r="B28" s="190"/>
      <c r="C28" s="459" t="s">
        <v>106</v>
      </c>
      <c r="D28" s="194"/>
      <c r="E28" s="201">
        <v>207219</v>
      </c>
      <c r="F28" s="198">
        <f t="shared" si="0"/>
        <v>0.002141845359899924</v>
      </c>
      <c r="G28" s="201">
        <v>218000</v>
      </c>
      <c r="H28" s="198">
        <f t="shared" si="1"/>
        <v>0.002180702535128717</v>
      </c>
      <c r="I28" s="460">
        <f t="shared" si="2"/>
        <v>-4.945412844036701</v>
      </c>
      <c r="J28" s="146"/>
      <c r="K28" s="70"/>
    </row>
    <row r="29" spans="1:11" ht="15" customHeight="1">
      <c r="A29" s="70"/>
      <c r="B29" s="190"/>
      <c r="C29" s="459" t="s">
        <v>107</v>
      </c>
      <c r="D29" s="196"/>
      <c r="E29" s="379">
        <f>E30-SUM(E7:E11,E17:E28)</f>
        <v>2945507</v>
      </c>
      <c r="F29" s="380">
        <f t="shared" si="0"/>
        <v>0.03044518360045529</v>
      </c>
      <c r="G29" s="202">
        <f>G30-SUM(G7:G11,G17:G28)</f>
        <v>2847382</v>
      </c>
      <c r="H29" s="198">
        <f t="shared" si="1"/>
        <v>0.02848299608201778</v>
      </c>
      <c r="I29" s="460">
        <f t="shared" si="2"/>
        <v>3.4461480756709184</v>
      </c>
      <c r="J29" s="146"/>
      <c r="K29" s="70"/>
    </row>
    <row r="30" spans="1:11" ht="15" customHeight="1">
      <c r="A30" s="70"/>
      <c r="B30" s="190"/>
      <c r="C30" s="16" t="s">
        <v>108</v>
      </c>
      <c r="D30" s="17"/>
      <c r="E30" s="18">
        <v>96747881</v>
      </c>
      <c r="F30" s="381">
        <f t="shared" si="0"/>
        <v>1</v>
      </c>
      <c r="G30" s="382">
        <v>99967784</v>
      </c>
      <c r="H30" s="192">
        <f t="shared" si="1"/>
        <v>1</v>
      </c>
      <c r="I30" s="383">
        <f t="shared" si="2"/>
        <v>-3.220940658242455</v>
      </c>
      <c r="J30" s="146"/>
      <c r="K30" s="70"/>
    </row>
    <row r="31" spans="1:11" ht="12.75">
      <c r="A31" s="70"/>
      <c r="B31" s="127"/>
      <c r="C31" s="929" t="s">
        <v>109</v>
      </c>
      <c r="D31" s="929"/>
      <c r="E31" s="929"/>
      <c r="F31" s="929"/>
      <c r="G31" s="191"/>
      <c r="H31" s="191"/>
      <c r="I31" s="191"/>
      <c r="J31" s="147"/>
      <c r="K31" s="70"/>
    </row>
    <row r="32" spans="1:11" ht="1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8">
    <mergeCell ref="C31:F31"/>
    <mergeCell ref="B2:J2"/>
    <mergeCell ref="C5:D6"/>
    <mergeCell ref="E5:F5"/>
    <mergeCell ref="G5:H5"/>
    <mergeCell ref="I5:I6"/>
    <mergeCell ref="B3:J3"/>
    <mergeCell ref="B4:J4"/>
  </mergeCells>
  <conditionalFormatting sqref="I7:I30">
    <cfRule type="cellIs" priority="2" dxfId="0" operator="lessThan" stopIfTrue="1">
      <formula>0</formula>
    </cfRule>
  </conditionalFormatting>
  <conditionalFormatting sqref="I7:I30">
    <cfRule type="cellIs" priority="1" dxfId="0" operator="lessThan" stopIfTrue="1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12.28125" style="0" customWidth="1"/>
    <col min="4" max="4" width="44.57421875" style="0" customWidth="1"/>
    <col min="5" max="5" width="14.7109375" style="0" customWidth="1"/>
    <col min="6" max="6" width="9.7109375" style="0" customWidth="1"/>
    <col min="7" max="7" width="14.7109375" style="0" customWidth="1"/>
    <col min="8" max="8" width="9.7109375" style="0" customWidth="1"/>
    <col min="9" max="9" width="13.421875" style="0" customWidth="1"/>
    <col min="10" max="10" width="5.7109375" style="0" customWidth="1"/>
    <col min="11" max="11" width="3.57421875" style="0" customWidth="1"/>
  </cols>
  <sheetData>
    <row r="1" spans="1:11" ht="15" customHeight="1">
      <c r="A1" s="69"/>
      <c r="B1" s="331"/>
      <c r="C1" s="331"/>
      <c r="D1" s="331"/>
      <c r="E1" s="331"/>
      <c r="F1" s="331"/>
      <c r="G1" s="331"/>
      <c r="H1" s="331"/>
      <c r="I1" s="331"/>
      <c r="J1" s="71"/>
      <c r="K1" s="70"/>
    </row>
    <row r="2" spans="1:11" ht="18" customHeight="1">
      <c r="A2" s="71"/>
      <c r="B2" s="335"/>
      <c r="C2" s="465"/>
      <c r="D2" s="465"/>
      <c r="E2" s="465"/>
      <c r="F2" s="465"/>
      <c r="G2" s="465"/>
      <c r="H2" s="465"/>
      <c r="I2" s="465"/>
      <c r="J2" s="336"/>
      <c r="K2" s="70"/>
    </row>
    <row r="3" spans="1:11" ht="18" customHeight="1">
      <c r="A3" s="71"/>
      <c r="B3" s="941" t="s">
        <v>80</v>
      </c>
      <c r="C3" s="942"/>
      <c r="D3" s="942"/>
      <c r="E3" s="942"/>
      <c r="F3" s="942"/>
      <c r="G3" s="942"/>
      <c r="H3" s="942"/>
      <c r="I3" s="942"/>
      <c r="J3" s="943"/>
      <c r="K3" s="70"/>
    </row>
    <row r="4" spans="1:11" ht="18" customHeight="1">
      <c r="A4" s="71"/>
      <c r="B4" s="941" t="s">
        <v>287</v>
      </c>
      <c r="C4" s="942"/>
      <c r="D4" s="942"/>
      <c r="E4" s="942"/>
      <c r="F4" s="942"/>
      <c r="G4" s="942"/>
      <c r="H4" s="942"/>
      <c r="I4" s="942"/>
      <c r="J4" s="943"/>
      <c r="K4" s="70"/>
    </row>
    <row r="5" spans="1:11" ht="18" customHeight="1">
      <c r="A5" s="71"/>
      <c r="B5" s="458"/>
      <c r="C5" s="933" t="s">
        <v>81</v>
      </c>
      <c r="D5" s="934"/>
      <c r="E5" s="937" t="s">
        <v>481</v>
      </c>
      <c r="F5" s="938"/>
      <c r="G5" s="937" t="s">
        <v>482</v>
      </c>
      <c r="H5" s="938"/>
      <c r="I5" s="939" t="s">
        <v>82</v>
      </c>
      <c r="J5" s="146"/>
      <c r="K5" s="70"/>
    </row>
    <row r="6" spans="1:11" ht="18" customHeight="1">
      <c r="A6" s="71"/>
      <c r="B6" s="458"/>
      <c r="C6" s="935"/>
      <c r="D6" s="936"/>
      <c r="E6" s="15" t="s">
        <v>83</v>
      </c>
      <c r="F6" s="15" t="s">
        <v>84</v>
      </c>
      <c r="G6" s="15" t="s">
        <v>85</v>
      </c>
      <c r="H6" s="14" t="s">
        <v>84</v>
      </c>
      <c r="I6" s="940"/>
      <c r="J6" s="146"/>
      <c r="K6" s="70"/>
    </row>
    <row r="7" spans="1:11" ht="15" customHeight="1">
      <c r="A7" s="71"/>
      <c r="B7" s="338"/>
      <c r="C7" s="459" t="s">
        <v>23</v>
      </c>
      <c r="D7" s="193"/>
      <c r="E7" s="847">
        <v>26113113</v>
      </c>
      <c r="F7" s="197">
        <f aca="true" t="shared" si="0" ref="F7:F30">E7/$E$30</f>
        <v>0.34941692398692714</v>
      </c>
      <c r="G7" s="200">
        <v>30226101</v>
      </c>
      <c r="H7" s="197">
        <f aca="true" t="shared" si="1" ref="H7:H30">G7/$G$30</f>
        <v>0.3604497590870189</v>
      </c>
      <c r="I7" s="460">
        <f>(E7/G7-1)*100</f>
        <v>-13.607405070207367</v>
      </c>
      <c r="J7" s="146"/>
      <c r="K7" s="70"/>
    </row>
    <row r="8" spans="1:11" ht="15" customHeight="1">
      <c r="A8" s="71"/>
      <c r="B8" s="338"/>
      <c r="C8" s="459" t="s">
        <v>86</v>
      </c>
      <c r="D8" s="194"/>
      <c r="E8" s="848">
        <v>12188311</v>
      </c>
      <c r="F8" s="198">
        <f t="shared" si="0"/>
        <v>0.1630905567718421</v>
      </c>
      <c r="G8" s="201">
        <v>14535462</v>
      </c>
      <c r="H8" s="198">
        <f t="shared" si="1"/>
        <v>0.17333706971066223</v>
      </c>
      <c r="I8" s="460">
        <f aca="true" t="shared" si="2" ref="I8:I29">(E8/G8-1)*100</f>
        <v>-16.1477564318217</v>
      </c>
      <c r="J8" s="146"/>
      <c r="K8" s="70"/>
    </row>
    <row r="9" spans="1:11" ht="15" customHeight="1">
      <c r="A9" s="71"/>
      <c r="B9" s="338"/>
      <c r="C9" s="459" t="s">
        <v>87</v>
      </c>
      <c r="D9" s="194"/>
      <c r="E9" s="848">
        <v>6792756</v>
      </c>
      <c r="F9" s="198">
        <f t="shared" si="0"/>
        <v>0.09089318102034573</v>
      </c>
      <c r="G9" s="201">
        <v>8646915</v>
      </c>
      <c r="H9" s="198">
        <f t="shared" si="1"/>
        <v>0.10311546396923406</v>
      </c>
      <c r="I9" s="460">
        <f t="shared" si="2"/>
        <v>-21.443011756215945</v>
      </c>
      <c r="J9" s="146"/>
      <c r="K9" s="70"/>
    </row>
    <row r="10" spans="1:11" ht="15" customHeight="1">
      <c r="A10" s="71"/>
      <c r="B10" s="338"/>
      <c r="C10" s="459" t="s">
        <v>88</v>
      </c>
      <c r="D10" s="194"/>
      <c r="E10" s="848">
        <v>8593174</v>
      </c>
      <c r="F10" s="198">
        <f t="shared" si="0"/>
        <v>0.1149843921850466</v>
      </c>
      <c r="G10" s="201">
        <v>8323650</v>
      </c>
      <c r="H10" s="198">
        <f t="shared" si="1"/>
        <v>0.09926049136223902</v>
      </c>
      <c r="I10" s="460">
        <f t="shared" si="2"/>
        <v>3.238050614814414</v>
      </c>
      <c r="J10" s="146"/>
      <c r="K10" s="70"/>
    </row>
    <row r="11" spans="1:11" ht="15" customHeight="1">
      <c r="A11" s="71"/>
      <c r="B11" s="338"/>
      <c r="C11" s="461" t="s">
        <v>89</v>
      </c>
      <c r="D11" s="195"/>
      <c r="E11" s="849">
        <v>5160732</v>
      </c>
      <c r="F11" s="199">
        <f t="shared" si="0"/>
        <v>0.06905523293836711</v>
      </c>
      <c r="G11" s="752">
        <v>5367536</v>
      </c>
      <c r="H11" s="199">
        <f t="shared" si="1"/>
        <v>0.06400848915614028</v>
      </c>
      <c r="I11" s="460">
        <f t="shared" si="2"/>
        <v>-3.8528665667077022</v>
      </c>
      <c r="J11" s="146"/>
      <c r="K11" s="70"/>
    </row>
    <row r="12" spans="1:11" ht="15" customHeight="1">
      <c r="A12" s="71"/>
      <c r="B12" s="338"/>
      <c r="C12" s="461"/>
      <c r="D12" s="195" t="s">
        <v>90</v>
      </c>
      <c r="E12" s="849">
        <v>4644253</v>
      </c>
      <c r="F12" s="198">
        <f t="shared" si="0"/>
        <v>0.06214427967577279</v>
      </c>
      <c r="G12" s="752">
        <v>4844936</v>
      </c>
      <c r="H12" s="199">
        <f t="shared" si="1"/>
        <v>0.0577764235616107</v>
      </c>
      <c r="I12" s="460">
        <f t="shared" si="2"/>
        <v>-4.142118698781571</v>
      </c>
      <c r="J12" s="146"/>
      <c r="K12" s="70"/>
    </row>
    <row r="13" spans="1:11" ht="15" customHeight="1">
      <c r="A13" s="71"/>
      <c r="B13" s="338"/>
      <c r="C13" s="461"/>
      <c r="D13" s="195" t="s">
        <v>91</v>
      </c>
      <c r="E13" s="849">
        <v>475431</v>
      </c>
      <c r="F13" s="198">
        <f t="shared" si="0"/>
        <v>0.006361694126166756</v>
      </c>
      <c r="G13" s="752">
        <v>471821</v>
      </c>
      <c r="H13" s="199">
        <f t="shared" si="1"/>
        <v>0.005626520131795904</v>
      </c>
      <c r="I13" s="460">
        <f t="shared" si="2"/>
        <v>0.7651206707628422</v>
      </c>
      <c r="J13" s="146"/>
      <c r="K13" s="70"/>
    </row>
    <row r="14" spans="1:13" ht="15" customHeight="1">
      <c r="A14" s="71"/>
      <c r="B14" s="338"/>
      <c r="C14" s="461"/>
      <c r="D14" s="195" t="s">
        <v>92</v>
      </c>
      <c r="E14" s="849">
        <v>8769</v>
      </c>
      <c r="F14" s="198">
        <f t="shared" si="0"/>
        <v>0.0001173371021081004</v>
      </c>
      <c r="G14" s="752">
        <v>10560</v>
      </c>
      <c r="H14" s="199">
        <f t="shared" si="1"/>
        <v>0.0001259292244129972</v>
      </c>
      <c r="I14" s="460">
        <f t="shared" si="2"/>
        <v>-16.96022727272727</v>
      </c>
      <c r="J14" s="146"/>
      <c r="K14" s="70"/>
      <c r="M14" s="748"/>
    </row>
    <row r="15" spans="1:11" ht="15" customHeight="1">
      <c r="A15" s="71"/>
      <c r="B15" s="338"/>
      <c r="C15" s="461"/>
      <c r="D15" s="195" t="s">
        <v>93</v>
      </c>
      <c r="E15" s="849">
        <v>32191</v>
      </c>
      <c r="F15" s="198">
        <f t="shared" si="0"/>
        <v>0.0004307445152197354</v>
      </c>
      <c r="G15" s="752">
        <v>40217</v>
      </c>
      <c r="H15" s="199">
        <f t="shared" si="1"/>
        <v>0.0004795923880887792</v>
      </c>
      <c r="I15" s="460">
        <f t="shared" si="2"/>
        <v>-19.956734714175596</v>
      </c>
      <c r="J15" s="146"/>
      <c r="K15" s="70"/>
    </row>
    <row r="16" spans="1:11" ht="15" customHeight="1">
      <c r="A16" s="71"/>
      <c r="B16" s="338"/>
      <c r="C16" s="461"/>
      <c r="D16" s="195" t="s">
        <v>94</v>
      </c>
      <c r="E16" s="849">
        <v>87</v>
      </c>
      <c r="F16" s="198">
        <f t="shared" si="0"/>
        <v>1.1641382008672295E-06</v>
      </c>
      <c r="G16" s="752">
        <v>2</v>
      </c>
      <c r="H16" s="199">
        <f t="shared" si="1"/>
        <v>2.3850231896400985E-08</v>
      </c>
      <c r="I16" s="749">
        <f t="shared" si="2"/>
        <v>4250</v>
      </c>
      <c r="J16" s="146"/>
      <c r="K16" s="70"/>
    </row>
    <row r="17" spans="1:11" ht="15" customHeight="1">
      <c r="A17" s="71"/>
      <c r="B17" s="338"/>
      <c r="C17" s="459" t="s">
        <v>95</v>
      </c>
      <c r="D17" s="194"/>
      <c r="E17" s="848">
        <v>3866184</v>
      </c>
      <c r="F17" s="198">
        <f t="shared" si="0"/>
        <v>0.051733017080249064</v>
      </c>
      <c r="G17" s="201">
        <v>3282976</v>
      </c>
      <c r="H17" s="198">
        <f t="shared" si="1"/>
        <v>0.03914986945515946</v>
      </c>
      <c r="I17" s="460">
        <f t="shared" si="2"/>
        <v>17.76461357012662</v>
      </c>
      <c r="J17" s="146"/>
      <c r="K17" s="70"/>
    </row>
    <row r="18" spans="1:11" ht="15" customHeight="1">
      <c r="A18" s="71"/>
      <c r="B18" s="338"/>
      <c r="C18" s="459" t="s">
        <v>96</v>
      </c>
      <c r="D18" s="194"/>
      <c r="E18" s="848">
        <v>2278736</v>
      </c>
      <c r="F18" s="198">
        <f t="shared" si="0"/>
        <v>0.03049153594587801</v>
      </c>
      <c r="G18" s="201">
        <v>2895126</v>
      </c>
      <c r="H18" s="198">
        <f t="shared" si="1"/>
        <v>0.034524713234649895</v>
      </c>
      <c r="I18" s="460">
        <f t="shared" si="2"/>
        <v>-21.290610495018182</v>
      </c>
      <c r="J18" s="146"/>
      <c r="K18" s="70"/>
    </row>
    <row r="19" spans="1:11" ht="15" customHeight="1">
      <c r="A19" s="71"/>
      <c r="B19" s="338"/>
      <c r="C19" s="459" t="s">
        <v>97</v>
      </c>
      <c r="D19" s="194"/>
      <c r="E19" s="848">
        <v>1932324</v>
      </c>
      <c r="F19" s="198">
        <f t="shared" si="0"/>
        <v>0.025856232009799637</v>
      </c>
      <c r="G19" s="201">
        <v>2217432</v>
      </c>
      <c r="H19" s="198">
        <f t="shared" si="1"/>
        <v>0.026443133707250113</v>
      </c>
      <c r="I19" s="460">
        <f t="shared" si="2"/>
        <v>-12.857575790373732</v>
      </c>
      <c r="J19" s="146"/>
      <c r="K19" s="70"/>
    </row>
    <row r="20" spans="1:11" ht="15" customHeight="1">
      <c r="A20" s="71"/>
      <c r="B20" s="338"/>
      <c r="C20" s="459" t="s">
        <v>98</v>
      </c>
      <c r="D20" s="194"/>
      <c r="E20" s="848">
        <v>1707397</v>
      </c>
      <c r="F20" s="198">
        <f t="shared" si="0"/>
        <v>0.02284650657179431</v>
      </c>
      <c r="G20" s="201">
        <v>1772985</v>
      </c>
      <c r="H20" s="198">
        <f t="shared" si="1"/>
        <v>0.02114305169942025</v>
      </c>
      <c r="I20" s="460">
        <f t="shared" si="2"/>
        <v>-3.6992980764078642</v>
      </c>
      <c r="J20" s="146"/>
      <c r="K20" s="70"/>
    </row>
    <row r="21" spans="1:11" ht="15" customHeight="1">
      <c r="A21" s="71"/>
      <c r="B21" s="338"/>
      <c r="C21" s="459" t="s">
        <v>99</v>
      </c>
      <c r="D21" s="194"/>
      <c r="E21" s="848">
        <v>1298262</v>
      </c>
      <c r="F21" s="198">
        <f t="shared" si="0"/>
        <v>0.017371912516486104</v>
      </c>
      <c r="G21" s="201">
        <v>1390138</v>
      </c>
      <c r="H21" s="198">
        <f t="shared" si="1"/>
        <v>0.016577556833999536</v>
      </c>
      <c r="I21" s="460">
        <f t="shared" si="2"/>
        <v>-6.609128014628762</v>
      </c>
      <c r="J21" s="146"/>
      <c r="K21" s="70"/>
    </row>
    <row r="22" spans="1:11" ht="15" customHeight="1">
      <c r="A22" s="71"/>
      <c r="B22" s="338"/>
      <c r="C22" s="459" t="s">
        <v>100</v>
      </c>
      <c r="D22" s="194"/>
      <c r="E22" s="848">
        <v>690747</v>
      </c>
      <c r="F22" s="198">
        <f t="shared" si="0"/>
        <v>0.009242815745223404</v>
      </c>
      <c r="G22" s="201">
        <v>632959</v>
      </c>
      <c r="H22" s="198">
        <f t="shared" si="1"/>
        <v>0.007548109465457036</v>
      </c>
      <c r="I22" s="460">
        <f t="shared" si="2"/>
        <v>9.129817255146078</v>
      </c>
      <c r="J22" s="146"/>
      <c r="K22" s="70"/>
    </row>
    <row r="23" spans="1:11" ht="15" customHeight="1">
      <c r="A23" s="71"/>
      <c r="B23" s="463"/>
      <c r="C23" s="459" t="s">
        <v>101</v>
      </c>
      <c r="D23" s="194"/>
      <c r="E23" s="848">
        <v>245529</v>
      </c>
      <c r="F23" s="198">
        <f t="shared" si="0"/>
        <v>0.0032853987163302296</v>
      </c>
      <c r="G23" s="201">
        <v>650730</v>
      </c>
      <c r="H23" s="198">
        <f t="shared" si="1"/>
        <v>0.007760030700972506</v>
      </c>
      <c r="I23" s="460">
        <f t="shared" si="2"/>
        <v>-62.26868286386058</v>
      </c>
      <c r="J23" s="146"/>
      <c r="K23" s="70"/>
    </row>
    <row r="24" spans="1:11" ht="15" customHeight="1">
      <c r="A24" s="71"/>
      <c r="B24" s="463"/>
      <c r="C24" s="459" t="s">
        <v>102</v>
      </c>
      <c r="D24" s="194"/>
      <c r="E24" s="850">
        <v>359039</v>
      </c>
      <c r="F24" s="198">
        <f>E25/$E$30</f>
        <v>0.004818930011141606</v>
      </c>
      <c r="G24" s="201">
        <v>370525</v>
      </c>
      <c r="H24" s="198">
        <f t="shared" si="1"/>
        <v>0.004418553586706987</v>
      </c>
      <c r="I24" s="460">
        <f t="shared" si="2"/>
        <v>-3.0999257809864345</v>
      </c>
      <c r="J24" s="146"/>
      <c r="K24" s="70"/>
    </row>
    <row r="25" spans="1:11" ht="15" customHeight="1">
      <c r="A25" s="71"/>
      <c r="B25" s="155"/>
      <c r="C25" s="459" t="s">
        <v>103</v>
      </c>
      <c r="D25" s="194"/>
      <c r="E25" s="848">
        <v>360135</v>
      </c>
      <c r="F25" s="198">
        <f>E26/$E$30</f>
        <v>0.0035191897812216345</v>
      </c>
      <c r="G25" s="201">
        <v>360956</v>
      </c>
      <c r="H25" s="198">
        <f t="shared" si="1"/>
        <v>0.004304442152198657</v>
      </c>
      <c r="I25" s="460">
        <f t="shared" si="2"/>
        <v>-0.22745154534070666</v>
      </c>
      <c r="J25" s="146"/>
      <c r="K25" s="70"/>
    </row>
    <row r="26" spans="1:11" ht="15" customHeight="1">
      <c r="A26" s="70"/>
      <c r="B26" s="190"/>
      <c r="C26" s="459" t="s">
        <v>104</v>
      </c>
      <c r="D26" s="194"/>
      <c r="E26" s="848">
        <v>263001</v>
      </c>
      <c r="F26" s="198">
        <f t="shared" si="0"/>
        <v>0.0035191897812216345</v>
      </c>
      <c r="G26" s="201">
        <v>280512</v>
      </c>
      <c r="H26" s="198">
        <f t="shared" si="1"/>
        <v>0.0033451381248616164</v>
      </c>
      <c r="I26" s="460">
        <f t="shared" si="2"/>
        <v>-6.242513689253936</v>
      </c>
      <c r="J26" s="146"/>
      <c r="K26" s="70"/>
    </row>
    <row r="27" spans="1:11" ht="15" customHeight="1">
      <c r="A27" s="70"/>
      <c r="B27" s="190"/>
      <c r="C27" s="459" t="s">
        <v>105</v>
      </c>
      <c r="D27" s="194"/>
      <c r="E27" s="848">
        <v>291602</v>
      </c>
      <c r="F27" s="198">
        <f t="shared" si="0"/>
        <v>0.0039018968695320212</v>
      </c>
      <c r="G27" s="201">
        <v>274109</v>
      </c>
      <c r="H27" s="198">
        <f t="shared" si="1"/>
        <v>0.0032687816074452886</v>
      </c>
      <c r="I27" s="460">
        <f t="shared" si="2"/>
        <v>6.381767836882402</v>
      </c>
      <c r="J27" s="146"/>
      <c r="K27" s="70"/>
    </row>
    <row r="28" spans="1:11" ht="15" customHeight="1">
      <c r="A28" s="70"/>
      <c r="B28" s="190"/>
      <c r="C28" s="459" t="s">
        <v>106</v>
      </c>
      <c r="D28" s="194"/>
      <c r="E28" s="848">
        <v>174793</v>
      </c>
      <c r="F28" s="198">
        <f t="shared" si="0"/>
        <v>0.0023388874545308695</v>
      </c>
      <c r="G28" s="201">
        <v>166351</v>
      </c>
      <c r="H28" s="198">
        <f t="shared" si="1"/>
        <v>0.0019837549630991</v>
      </c>
      <c r="I28" s="460">
        <f t="shared" si="2"/>
        <v>5.074811693347203</v>
      </c>
      <c r="J28" s="146"/>
      <c r="K28" s="70"/>
    </row>
    <row r="29" spans="1:11" ht="15" customHeight="1">
      <c r="A29" s="70"/>
      <c r="B29" s="190"/>
      <c r="C29" s="459" t="s">
        <v>107</v>
      </c>
      <c r="D29" s="196"/>
      <c r="E29" s="202">
        <f>E30-SUM(E7:E11,E17:E28)</f>
        <v>2417560</v>
      </c>
      <c r="F29" s="380">
        <f t="shared" si="0"/>
        <v>0.032349125849294016</v>
      </c>
      <c r="G29" s="202">
        <f>G30-SUM(G7:G11,G17:G28)</f>
        <v>2462164</v>
      </c>
      <c r="H29" s="198">
        <f t="shared" si="1"/>
        <v>0.029361591183485115</v>
      </c>
      <c r="I29" s="460">
        <f t="shared" si="2"/>
        <v>-1.8115771329610841</v>
      </c>
      <c r="J29" s="146"/>
      <c r="K29" s="70"/>
    </row>
    <row r="30" spans="1:11" ht="15" customHeight="1">
      <c r="A30" s="70"/>
      <c r="B30" s="190"/>
      <c r="C30" s="16" t="s">
        <v>108</v>
      </c>
      <c r="D30" s="17"/>
      <c r="E30" s="18">
        <v>74733395</v>
      </c>
      <c r="F30" s="381">
        <f t="shared" si="0"/>
        <v>1</v>
      </c>
      <c r="G30" s="18">
        <v>83856627</v>
      </c>
      <c r="H30" s="192">
        <f t="shared" si="1"/>
        <v>1</v>
      </c>
      <c r="I30" s="383">
        <f>(E30/G30-1)*100</f>
        <v>-10.879559942233307</v>
      </c>
      <c r="J30" s="146"/>
      <c r="K30" s="70"/>
    </row>
    <row r="31" spans="1:11" ht="15" customHeight="1">
      <c r="A31" s="70"/>
      <c r="B31" s="127"/>
      <c r="C31" s="929" t="s">
        <v>109</v>
      </c>
      <c r="D31" s="929"/>
      <c r="E31" s="929"/>
      <c r="F31" s="929"/>
      <c r="G31" s="191"/>
      <c r="H31" s="191"/>
      <c r="I31" s="191"/>
      <c r="J31" s="147"/>
      <c r="K31" s="70"/>
    </row>
    <row r="32" spans="1:11" ht="1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7">
    <mergeCell ref="C31:F31"/>
    <mergeCell ref="B3:J3"/>
    <mergeCell ref="B4:J4"/>
    <mergeCell ref="C5:D6"/>
    <mergeCell ref="E5:F5"/>
    <mergeCell ref="G5:H5"/>
    <mergeCell ref="I5:I6"/>
  </mergeCells>
  <conditionalFormatting sqref="I7:I30">
    <cfRule type="cellIs" priority="7" dxfId="0" operator="lessThan" stopIfTrue="1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22.421875" style="0" customWidth="1"/>
    <col min="4" max="5" width="11.28125" style="0" bestFit="1" customWidth="1"/>
    <col min="6" max="6" width="10.140625" style="0" customWidth="1"/>
    <col min="7" max="8" width="11.28125" style="0" bestFit="1" customWidth="1"/>
    <col min="9" max="9" width="10.140625" style="0" bestFit="1" customWidth="1"/>
    <col min="10" max="10" width="8.140625" style="0" bestFit="1" customWidth="1"/>
    <col min="11" max="11" width="10.28125" style="0" bestFit="1" customWidth="1"/>
    <col min="12" max="12" width="9.57421875" style="0" bestFit="1" customWidth="1"/>
    <col min="13" max="13" width="11.7109375" style="0" customWidth="1"/>
    <col min="14" max="14" width="3.57421875" style="0" customWidth="1"/>
  </cols>
  <sheetData>
    <row r="1" spans="1:14" ht="15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2"/>
      <c r="N1" s="70"/>
    </row>
    <row r="2" spans="1:14" ht="18" customHeight="1">
      <c r="A2" s="74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31"/>
    </row>
    <row r="3" spans="1:14" ht="18" customHeight="1">
      <c r="A3" s="74"/>
      <c r="B3" s="941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3"/>
      <c r="N3" s="70"/>
    </row>
    <row r="4" spans="1:14" ht="18" customHeight="1">
      <c r="A4" s="74"/>
      <c r="B4" s="114"/>
      <c r="C4" s="947"/>
      <c r="D4" s="947"/>
      <c r="E4" s="343"/>
      <c r="F4" s="947"/>
      <c r="G4" s="947"/>
      <c r="H4" s="343"/>
      <c r="I4" s="947"/>
      <c r="J4" s="947"/>
      <c r="K4" s="947"/>
      <c r="L4" s="343"/>
      <c r="M4" s="146"/>
      <c r="N4" s="70"/>
    </row>
    <row r="5" spans="1:14" ht="18" customHeight="1">
      <c r="A5" s="74"/>
      <c r="B5" s="114"/>
      <c r="C5" s="947"/>
      <c r="D5" s="947"/>
      <c r="E5" s="343"/>
      <c r="F5" s="343"/>
      <c r="G5" s="343"/>
      <c r="H5" s="343"/>
      <c r="I5" s="343"/>
      <c r="J5" s="343"/>
      <c r="K5" s="947"/>
      <c r="L5" s="343"/>
      <c r="M5" s="146"/>
      <c r="N5" s="70"/>
    </row>
    <row r="6" spans="1:17" ht="16.5" customHeight="1">
      <c r="A6" s="74"/>
      <c r="B6" s="115"/>
      <c r="C6" s="944" t="s">
        <v>309</v>
      </c>
      <c r="D6" s="944"/>
      <c r="E6" s="944"/>
      <c r="F6" s="944"/>
      <c r="G6" s="944"/>
      <c r="H6" s="944"/>
      <c r="I6" s="944"/>
      <c r="J6" s="944"/>
      <c r="K6" s="944"/>
      <c r="L6" s="344"/>
      <c r="M6" s="146"/>
      <c r="N6" s="70"/>
      <c r="Q6" s="384"/>
    </row>
    <row r="7" spans="1:14" ht="13.5" customHeight="1" thickBot="1">
      <c r="A7" s="74"/>
      <c r="B7" s="115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146"/>
      <c r="N7" s="70"/>
    </row>
    <row r="8" spans="1:14" ht="19.5" customHeight="1">
      <c r="A8" s="74"/>
      <c r="B8" s="115"/>
      <c r="C8" s="945" t="s">
        <v>89</v>
      </c>
      <c r="D8" s="948" t="s">
        <v>481</v>
      </c>
      <c r="E8" s="949"/>
      <c r="F8" s="950"/>
      <c r="G8" s="948" t="s">
        <v>482</v>
      </c>
      <c r="H8" s="949"/>
      <c r="I8" s="950"/>
      <c r="J8" s="951" t="s">
        <v>339</v>
      </c>
      <c r="K8" s="952"/>
      <c r="L8" s="952"/>
      <c r="M8" s="146"/>
      <c r="N8" s="70"/>
    </row>
    <row r="9" spans="1:14" ht="19.5" customHeight="1">
      <c r="A9" s="74"/>
      <c r="B9" s="115"/>
      <c r="C9" s="946"/>
      <c r="D9" s="364" t="s">
        <v>111</v>
      </c>
      <c r="E9" s="364" t="s">
        <v>112</v>
      </c>
      <c r="F9" s="265" t="s">
        <v>308</v>
      </c>
      <c r="G9" s="364" t="s">
        <v>111</v>
      </c>
      <c r="H9" s="364" t="s">
        <v>112</v>
      </c>
      <c r="I9" s="265" t="s">
        <v>308</v>
      </c>
      <c r="J9" s="953" t="s">
        <v>306</v>
      </c>
      <c r="K9" s="954"/>
      <c r="L9" s="954"/>
      <c r="M9" s="146"/>
      <c r="N9" s="70"/>
    </row>
    <row r="10" spans="1:14" ht="19.5" customHeight="1" thickBot="1">
      <c r="A10" s="74"/>
      <c r="B10" s="115"/>
      <c r="C10" s="267"/>
      <c r="D10" s="365" t="s">
        <v>311</v>
      </c>
      <c r="E10" s="365" t="s">
        <v>115</v>
      </c>
      <c r="F10" s="268" t="s">
        <v>116</v>
      </c>
      <c r="G10" s="365" t="s">
        <v>311</v>
      </c>
      <c r="H10" s="365" t="s">
        <v>115</v>
      </c>
      <c r="I10" s="268" t="s">
        <v>116</v>
      </c>
      <c r="J10" s="365" t="s">
        <v>111</v>
      </c>
      <c r="K10" s="366" t="s">
        <v>112</v>
      </c>
      <c r="L10" s="269" t="s">
        <v>308</v>
      </c>
      <c r="M10" s="146"/>
      <c r="N10" s="70"/>
    </row>
    <row r="11" spans="1:14" ht="19.5" customHeight="1">
      <c r="A11" s="74"/>
      <c r="B11" s="115"/>
      <c r="C11" s="266" t="s">
        <v>15</v>
      </c>
      <c r="D11" s="817">
        <f>'Exp. Verde'!C17</f>
        <v>4644252.7</v>
      </c>
      <c r="E11" s="817">
        <f>'Exp. Verde'!D17</f>
        <v>27324399.133333333</v>
      </c>
      <c r="F11" s="818">
        <f aca="true" t="shared" si="0" ref="F11:F16">(D11*1000)/E11</f>
        <v>169.96723980416556</v>
      </c>
      <c r="G11" s="817">
        <f>'Exp. Verde'!F17</f>
        <v>4844935.717</v>
      </c>
      <c r="H11" s="817">
        <f>'Exp. Verde'!G17</f>
        <v>27199639.666666664</v>
      </c>
      <c r="I11" s="819">
        <f aca="true" t="shared" si="1" ref="I11:I16">(G11*1000)/H11</f>
        <v>178.12499637403286</v>
      </c>
      <c r="J11" s="820">
        <f aca="true" t="shared" si="2" ref="J11:L16">SUM(D11-G11)*100/G11</f>
        <v>-4.14211929161082</v>
      </c>
      <c r="K11" s="820">
        <f t="shared" si="2"/>
        <v>0.4586805861974789</v>
      </c>
      <c r="L11" s="821">
        <f t="shared" si="2"/>
        <v>-4.579793255258442</v>
      </c>
      <c r="M11" s="146"/>
      <c r="N11" s="70"/>
    </row>
    <row r="12" spans="1:14" ht="19.5" customHeight="1">
      <c r="A12" s="74"/>
      <c r="B12" s="115"/>
      <c r="C12" s="19" t="s">
        <v>117</v>
      </c>
      <c r="D12" s="817">
        <f>'Exp. Solúvel'!C17</f>
        <v>475431.152</v>
      </c>
      <c r="E12" s="817">
        <f>'Exp. Solúvel'!D17</f>
        <v>2853873.7096666666</v>
      </c>
      <c r="F12" s="818">
        <f t="shared" si="0"/>
        <v>166.5915174836277</v>
      </c>
      <c r="G12" s="817">
        <f>'Exp. Solúvel'!F17</f>
        <v>471821</v>
      </c>
      <c r="H12" s="817">
        <f>'Exp. Solúvel'!G17</f>
        <v>2741144.38</v>
      </c>
      <c r="I12" s="819">
        <f t="shared" si="1"/>
        <v>172.1255558235134</v>
      </c>
      <c r="J12" s="820">
        <f t="shared" si="2"/>
        <v>0.7651528863700433</v>
      </c>
      <c r="K12" s="820">
        <f t="shared" si="2"/>
        <v>4.112491501329335</v>
      </c>
      <c r="L12" s="821">
        <f t="shared" si="2"/>
        <v>-3.2151171936141396</v>
      </c>
      <c r="M12" s="146"/>
      <c r="N12" s="70"/>
    </row>
    <row r="13" spans="1:14" ht="19.5" customHeight="1">
      <c r="A13" s="74"/>
      <c r="B13" s="115"/>
      <c r="C13" s="19" t="s">
        <v>165</v>
      </c>
      <c r="D13" s="817">
        <f>'Exp. Torrado'!C17</f>
        <v>8768.96</v>
      </c>
      <c r="E13" s="817">
        <f>'Exp. Torrado'!D17</f>
        <v>29052.74133333333</v>
      </c>
      <c r="F13" s="818">
        <f t="shared" si="0"/>
        <v>301.82900468462964</v>
      </c>
      <c r="G13" s="817">
        <f>'Exp. Torrado'!F17</f>
        <v>10560</v>
      </c>
      <c r="H13" s="817">
        <f>'Exp. Torrado'!G17</f>
        <v>28194.333333333332</v>
      </c>
      <c r="I13" s="819">
        <f t="shared" si="1"/>
        <v>374.5433479540806</v>
      </c>
      <c r="J13" s="820">
        <f t="shared" si="2"/>
        <v>-16.960606060606068</v>
      </c>
      <c r="K13" s="820">
        <f t="shared" si="2"/>
        <v>3.0446118014258166</v>
      </c>
      <c r="L13" s="821">
        <f t="shared" si="2"/>
        <v>-19.41413288118678</v>
      </c>
      <c r="M13" s="146"/>
      <c r="N13" s="70"/>
    </row>
    <row r="14" spans="1:14" ht="19.5" customHeight="1">
      <c r="A14" s="74"/>
      <c r="B14" s="115"/>
      <c r="C14" s="19" t="s">
        <v>119</v>
      </c>
      <c r="D14" s="817">
        <f>'Exp. Extrato'!C17</f>
        <v>32190.776</v>
      </c>
      <c r="E14" s="817">
        <f>'Exp. Extrato'!D17</f>
        <v>244355.7333333333</v>
      </c>
      <c r="F14" s="818">
        <f t="shared" si="0"/>
        <v>131.73734686260687</v>
      </c>
      <c r="G14" s="817">
        <f>'Exp. Extrato'!F17</f>
        <v>40217</v>
      </c>
      <c r="H14" s="817">
        <f>'Exp. Extrato'!G17</f>
        <v>303013.3333333333</v>
      </c>
      <c r="I14" s="819">
        <f t="shared" si="1"/>
        <v>132.723532517821</v>
      </c>
      <c r="J14" s="820">
        <f t="shared" si="2"/>
        <v>-19.957291692567814</v>
      </c>
      <c r="K14" s="820">
        <f t="shared" si="2"/>
        <v>-19.35809205315498</v>
      </c>
      <c r="L14" s="821">
        <f t="shared" si="2"/>
        <v>-0.743037528089999</v>
      </c>
      <c r="M14" s="146"/>
      <c r="N14" s="70"/>
    </row>
    <row r="15" spans="1:14" ht="19.5" customHeight="1" thickBot="1">
      <c r="A15" s="74"/>
      <c r="B15" s="115"/>
      <c r="C15" s="270" t="s">
        <v>307</v>
      </c>
      <c r="D15" s="822">
        <v>87.376</v>
      </c>
      <c r="E15" s="822">
        <v>31.375</v>
      </c>
      <c r="F15" s="823">
        <f t="shared" si="0"/>
        <v>2784.8924302788846</v>
      </c>
      <c r="G15" s="822">
        <v>1.541</v>
      </c>
      <c r="H15" s="822">
        <v>14.34</v>
      </c>
      <c r="I15" s="824">
        <f t="shared" si="1"/>
        <v>107.46164574616458</v>
      </c>
      <c r="J15" s="825">
        <f t="shared" si="2"/>
        <v>5570.0843608046725</v>
      </c>
      <c r="K15" s="825">
        <f t="shared" si="2"/>
        <v>118.79358437935844</v>
      </c>
      <c r="L15" s="826">
        <f t="shared" si="2"/>
        <v>2491.5222225956654</v>
      </c>
      <c r="M15" s="146"/>
      <c r="N15" s="70"/>
    </row>
    <row r="16" spans="1:14" ht="19.5" customHeight="1" thickBot="1">
      <c r="A16" s="74"/>
      <c r="B16" s="115"/>
      <c r="C16" s="362" t="s">
        <v>120</v>
      </c>
      <c r="D16" s="827">
        <f>SUM(D11:D15)</f>
        <v>5160730.964</v>
      </c>
      <c r="E16" s="827">
        <f>SUM(E11:E15)</f>
        <v>30451712.692666665</v>
      </c>
      <c r="F16" s="828">
        <f t="shared" si="0"/>
        <v>169.47260129781796</v>
      </c>
      <c r="G16" s="827">
        <f>SUM(G11:G15)</f>
        <v>5367535.258</v>
      </c>
      <c r="H16" s="827">
        <f>SUM(H11:H15)</f>
        <v>30272006.053333327</v>
      </c>
      <c r="I16" s="829">
        <f t="shared" si="1"/>
        <v>177.31019373289823</v>
      </c>
      <c r="J16" s="830">
        <f>SUM(D16-G16)*100/G16</f>
        <v>-3.852872576696555</v>
      </c>
      <c r="K16" s="830">
        <f>SUM(E16-H16)*100/H16</f>
        <v>0.5936396782450748</v>
      </c>
      <c r="L16" s="831">
        <f t="shared" si="2"/>
        <v>-4.4202717678414425</v>
      </c>
      <c r="M16" s="146"/>
      <c r="N16" s="70"/>
    </row>
    <row r="17" spans="1:14" ht="15" customHeight="1">
      <c r="A17" s="74"/>
      <c r="B17" s="115"/>
      <c r="C17" s="363" t="s">
        <v>121</v>
      </c>
      <c r="D17" s="210"/>
      <c r="E17" s="210"/>
      <c r="F17" s="210"/>
      <c r="G17" s="210"/>
      <c r="H17" s="210"/>
      <c r="I17" s="210"/>
      <c r="J17" s="210"/>
      <c r="K17" s="210"/>
      <c r="L17" s="210"/>
      <c r="M17" s="146"/>
      <c r="N17" s="70"/>
    </row>
    <row r="18" spans="1:14" ht="15" customHeight="1">
      <c r="A18" s="74"/>
      <c r="B18" s="115"/>
      <c r="C18" s="363"/>
      <c r="D18" s="210"/>
      <c r="E18" s="210"/>
      <c r="F18" s="210"/>
      <c r="G18" s="210"/>
      <c r="H18" s="210"/>
      <c r="I18" s="210"/>
      <c r="J18" s="210"/>
      <c r="K18" s="210"/>
      <c r="L18" s="210"/>
      <c r="M18" s="146"/>
      <c r="N18" s="70"/>
    </row>
    <row r="19" spans="1:14" ht="15" customHeight="1">
      <c r="A19" s="74"/>
      <c r="B19" s="115"/>
      <c r="C19" s="363"/>
      <c r="D19" s="210"/>
      <c r="E19" s="210"/>
      <c r="F19" s="210"/>
      <c r="G19" s="210"/>
      <c r="H19" s="210"/>
      <c r="I19" s="210"/>
      <c r="J19" s="210"/>
      <c r="K19" s="210"/>
      <c r="L19" s="210"/>
      <c r="M19" s="146"/>
      <c r="N19" s="70"/>
    </row>
    <row r="20" spans="1:14" ht="15" customHeight="1">
      <c r="A20" s="74"/>
      <c r="B20" s="115"/>
      <c r="C20" s="363"/>
      <c r="D20" s="210"/>
      <c r="E20" s="210"/>
      <c r="F20" s="210"/>
      <c r="G20" s="210"/>
      <c r="H20" s="210"/>
      <c r="I20" s="210"/>
      <c r="J20" s="210"/>
      <c r="K20" s="210"/>
      <c r="L20" s="210"/>
      <c r="M20" s="146"/>
      <c r="N20" s="70"/>
    </row>
    <row r="21" spans="1:14" ht="15" customHeight="1">
      <c r="A21" s="74"/>
      <c r="B21" s="115"/>
      <c r="C21" s="363"/>
      <c r="D21" s="210"/>
      <c r="E21" s="210"/>
      <c r="F21" s="210"/>
      <c r="G21" s="210"/>
      <c r="H21" s="210"/>
      <c r="I21" s="210"/>
      <c r="J21" s="210"/>
      <c r="K21" s="210"/>
      <c r="L21" s="210"/>
      <c r="M21" s="146"/>
      <c r="N21" s="70"/>
    </row>
    <row r="22" spans="1:14" ht="15" customHeight="1">
      <c r="A22" s="74"/>
      <c r="B22" s="115"/>
      <c r="C22" s="363"/>
      <c r="D22" s="210"/>
      <c r="E22" s="210"/>
      <c r="F22" s="210"/>
      <c r="G22" s="210"/>
      <c r="H22" s="210"/>
      <c r="I22" s="210"/>
      <c r="J22" s="210"/>
      <c r="K22" s="210"/>
      <c r="L22" s="210"/>
      <c r="M22" s="146"/>
      <c r="N22" s="70"/>
    </row>
    <row r="23" spans="1:14" ht="15" customHeight="1">
      <c r="A23" s="74"/>
      <c r="B23" s="115"/>
      <c r="C23" s="363"/>
      <c r="D23" s="210"/>
      <c r="E23" s="210"/>
      <c r="F23" s="210"/>
      <c r="G23" s="210"/>
      <c r="H23" s="210"/>
      <c r="I23" s="210"/>
      <c r="J23" s="210"/>
      <c r="K23" s="210"/>
      <c r="L23" s="210"/>
      <c r="M23" s="146"/>
      <c r="N23" s="70"/>
    </row>
    <row r="24" spans="1:14" ht="15" customHeight="1">
      <c r="A24" s="70"/>
      <c r="B24" s="190"/>
      <c r="C24" s="227"/>
      <c r="D24" s="227"/>
      <c r="E24" s="227"/>
      <c r="F24" s="228"/>
      <c r="G24" s="225"/>
      <c r="H24" s="225"/>
      <c r="I24" s="228"/>
      <c r="J24" s="225"/>
      <c r="K24" s="226"/>
      <c r="L24" s="226"/>
      <c r="M24" s="146"/>
      <c r="N24" s="70"/>
    </row>
    <row r="25" spans="1:14" ht="15" customHeight="1">
      <c r="A25" s="70"/>
      <c r="B25" s="127"/>
      <c r="C25" s="929"/>
      <c r="D25" s="929"/>
      <c r="E25" s="929"/>
      <c r="F25" s="929"/>
      <c r="G25" s="929"/>
      <c r="H25" s="360"/>
      <c r="I25" s="191"/>
      <c r="J25" s="191"/>
      <c r="K25" s="191"/>
      <c r="L25" s="191"/>
      <c r="M25" s="147"/>
      <c r="N25" s="70"/>
    </row>
    <row r="26" spans="1:14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</sheetData>
  <sheetProtection/>
  <mergeCells count="12">
    <mergeCell ref="C25:G25"/>
    <mergeCell ref="C6:K6"/>
    <mergeCell ref="C8:C9"/>
    <mergeCell ref="B3:M3"/>
    <mergeCell ref="C4:D5"/>
    <mergeCell ref="F4:G4"/>
    <mergeCell ref="I4:J4"/>
    <mergeCell ref="K4:K5"/>
    <mergeCell ref="D8:F8"/>
    <mergeCell ref="G8:I8"/>
    <mergeCell ref="J8:L8"/>
    <mergeCell ref="J9:L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N31" sqref="N31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10.7109375" style="2" customWidth="1"/>
    <col min="4" max="4" width="11.28125" style="2" bestFit="1" customWidth="1"/>
    <col min="5" max="5" width="8.7109375" style="2" customWidth="1"/>
    <col min="6" max="6" width="11.4218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125" style="2" bestFit="1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8.25" customHeight="1">
      <c r="A2" s="486"/>
      <c r="B2" s="955"/>
      <c r="C2" s="956"/>
      <c r="D2" s="956"/>
      <c r="E2" s="956"/>
      <c r="F2" s="956"/>
      <c r="G2" s="956"/>
      <c r="H2" s="956"/>
      <c r="I2" s="956"/>
      <c r="J2" s="956"/>
      <c r="K2" s="956"/>
      <c r="L2" s="957"/>
      <c r="M2" s="486"/>
    </row>
    <row r="3" spans="1:13" ht="20.25" customHeight="1">
      <c r="A3" s="486"/>
      <c r="B3" s="958" t="s">
        <v>122</v>
      </c>
      <c r="C3" s="959"/>
      <c r="D3" s="959"/>
      <c r="E3" s="959"/>
      <c r="F3" s="959"/>
      <c r="G3" s="959"/>
      <c r="H3" s="959"/>
      <c r="I3" s="959"/>
      <c r="J3" s="959"/>
      <c r="K3" s="959"/>
      <c r="L3" s="960"/>
      <c r="M3" s="486"/>
    </row>
    <row r="4" spans="1:13" ht="13.5" customHeight="1">
      <c r="A4" s="486"/>
      <c r="B4" s="489"/>
      <c r="C4" s="490"/>
      <c r="D4" s="490"/>
      <c r="E4" s="491"/>
      <c r="F4" s="491"/>
      <c r="G4" s="491"/>
      <c r="H4" s="491"/>
      <c r="I4" s="491"/>
      <c r="J4" s="491"/>
      <c r="K4" s="491"/>
      <c r="L4" s="492"/>
      <c r="M4" s="486"/>
    </row>
    <row r="5" spans="1:13" ht="12.75" customHeight="1">
      <c r="A5" s="486"/>
      <c r="B5" s="493" t="s">
        <v>123</v>
      </c>
      <c r="C5" s="961">
        <v>2015</v>
      </c>
      <c r="D5" s="962"/>
      <c r="E5" s="963"/>
      <c r="F5" s="961">
        <v>2014</v>
      </c>
      <c r="G5" s="962"/>
      <c r="H5" s="963"/>
      <c r="I5" s="961" t="s">
        <v>124</v>
      </c>
      <c r="J5" s="963"/>
      <c r="K5" s="961" t="s">
        <v>125</v>
      </c>
      <c r="L5" s="963"/>
      <c r="M5" s="486"/>
    </row>
    <row r="6" spans="1:13" ht="12.75" customHeight="1">
      <c r="A6" s="486"/>
      <c r="B6" s="494"/>
      <c r="C6" s="470" t="s">
        <v>126</v>
      </c>
      <c r="D6" s="471" t="s">
        <v>127</v>
      </c>
      <c r="E6" s="472" t="s">
        <v>13</v>
      </c>
      <c r="F6" s="470" t="s">
        <v>126</v>
      </c>
      <c r="G6" s="471" t="s">
        <v>127</v>
      </c>
      <c r="H6" s="472" t="s">
        <v>13</v>
      </c>
      <c r="I6" s="473" t="s">
        <v>126</v>
      </c>
      <c r="J6" s="474" t="s">
        <v>127</v>
      </c>
      <c r="K6" s="470" t="s">
        <v>126</v>
      </c>
      <c r="L6" s="495" t="s">
        <v>127</v>
      </c>
      <c r="M6" s="486"/>
    </row>
    <row r="7" spans="1:14" ht="12.75" customHeight="1">
      <c r="A7" s="486"/>
      <c r="B7" s="91" t="s">
        <v>128</v>
      </c>
      <c r="C7" s="496">
        <v>546288</v>
      </c>
      <c r="D7" s="496">
        <v>2724750</v>
      </c>
      <c r="E7" s="481">
        <f aca="true" t="shared" si="0" ref="E7:E16">(C7*1000)/D7</f>
        <v>200.49105422515828</v>
      </c>
      <c r="F7" s="496">
        <v>339097</v>
      </c>
      <c r="G7" s="496">
        <v>2545500</v>
      </c>
      <c r="H7" s="481">
        <f aca="true" t="shared" si="1" ref="H7:H19">(F7*1000)/G7</f>
        <v>133.2142997446474</v>
      </c>
      <c r="I7" s="475">
        <f>C7+SUM(F18:F19)+SUM(F14:F16)</f>
        <v>3451850.717</v>
      </c>
      <c r="J7" s="475">
        <f>D7+SUM(G18:G19)+SUM(G14:G16)</f>
        <v>17180722.333333336</v>
      </c>
      <c r="K7" s="475">
        <f>SUM(B7)+SUM(F18:F19)+SUM(F8:F16)</f>
        <v>5702003.717</v>
      </c>
      <c r="L7" s="475">
        <f>SUM(C7)+SUM(G18:G19)+SUM(G8:G16)</f>
        <v>31109227.666666664</v>
      </c>
      <c r="M7" s="806"/>
      <c r="N7" s="754"/>
    </row>
    <row r="8" spans="1:14" ht="12.75" customHeight="1">
      <c r="A8" s="486"/>
      <c r="B8" s="104" t="s">
        <v>129</v>
      </c>
      <c r="C8" s="496">
        <v>493482</v>
      </c>
      <c r="D8" s="496">
        <v>2513466.6666666665</v>
      </c>
      <c r="E8" s="508">
        <f t="shared" si="0"/>
        <v>196.33520768129014</v>
      </c>
      <c r="F8" s="496">
        <v>362061</v>
      </c>
      <c r="G8" s="496">
        <v>2602850</v>
      </c>
      <c r="H8" s="508">
        <f t="shared" si="1"/>
        <v>139.1017538467449</v>
      </c>
      <c r="I8" s="475">
        <f>SUM(C7:C8)+SUM(F18:F19)+SUM(F15+F16)</f>
        <v>3434675.717</v>
      </c>
      <c r="J8" s="475">
        <f>SUM(D7:D8)+SUM(G18:G19)+SUM(G15+G16)</f>
        <v>17004455.666666664</v>
      </c>
      <c r="K8" s="475">
        <f>SUM(B7:B8)+SUM(F18:F19)+SUM(F9:F16)</f>
        <v>5339942.717</v>
      </c>
      <c r="L8" s="475">
        <f>SUM(C7:C8)+SUM(G18:G19)+SUM(G9:G16)</f>
        <v>28999859.666666664</v>
      </c>
      <c r="M8" s="806"/>
      <c r="N8" s="754"/>
    </row>
    <row r="9" spans="1:14" ht="12.75" customHeight="1">
      <c r="A9" s="486"/>
      <c r="B9" s="104" t="s">
        <v>130</v>
      </c>
      <c r="C9" s="496">
        <v>519708</v>
      </c>
      <c r="D9" s="496">
        <v>2860383.3333333335</v>
      </c>
      <c r="E9" s="508">
        <f t="shared" si="0"/>
        <v>181.69173129475652</v>
      </c>
      <c r="F9" s="496">
        <v>409264</v>
      </c>
      <c r="G9" s="496">
        <v>2556116.6666666665</v>
      </c>
      <c r="H9" s="508">
        <f t="shared" si="1"/>
        <v>160.11162766436067</v>
      </c>
      <c r="I9" s="475">
        <f>SUM(C7:C9)+SUM(F18:F19)+F16</f>
        <v>3399443</v>
      </c>
      <c r="J9" s="475">
        <f>SUM(D7:D9)+SUM(G18:G19)+G16</f>
        <v>17101700</v>
      </c>
      <c r="K9" s="475">
        <f>SUM(C7:C9)+SUM(F18:F19)+SUM(F10:F16)</f>
        <v>6490156.717</v>
      </c>
      <c r="L9" s="475">
        <f>SUM(D7:D9)+SUM(G18:G19)+SUM(G10:G16)</f>
        <v>33502573</v>
      </c>
      <c r="M9" s="806"/>
      <c r="N9" s="754"/>
    </row>
    <row r="10" spans="1:14" ht="12.75" customHeight="1">
      <c r="A10" s="486"/>
      <c r="B10" s="104" t="s">
        <v>131</v>
      </c>
      <c r="C10" s="475">
        <v>468848</v>
      </c>
      <c r="D10" s="475">
        <v>2815050</v>
      </c>
      <c r="E10" s="508">
        <f t="shared" si="0"/>
        <v>166.55050531962132</v>
      </c>
      <c r="F10" s="475">
        <v>500838</v>
      </c>
      <c r="G10" s="475">
        <v>2863850</v>
      </c>
      <c r="H10" s="508">
        <f t="shared" si="1"/>
        <v>174.88276271452764</v>
      </c>
      <c r="I10" s="475">
        <f>SUM(C7:C10)+SUM(F18:F19)</f>
        <v>3224491</v>
      </c>
      <c r="J10" s="475">
        <f>SUM(D7:D10)+SUM(G18:G19)</f>
        <v>16822450</v>
      </c>
      <c r="K10" s="475">
        <f>SUM(C7:C10)+SUM(F18:F19)+SUM(F11:F16)</f>
        <v>6458166.717</v>
      </c>
      <c r="L10" s="475">
        <f>SUM(D7:D10)+SUM(G18:G19)+SUM(G11:G16)</f>
        <v>33453773</v>
      </c>
      <c r="M10" s="806"/>
      <c r="N10" s="754"/>
    </row>
    <row r="11" spans="1:14" ht="12.75" customHeight="1">
      <c r="A11" s="486"/>
      <c r="B11" s="104" t="s">
        <v>132</v>
      </c>
      <c r="C11" s="475">
        <v>434545</v>
      </c>
      <c r="D11" s="475">
        <v>2630416.6666666665</v>
      </c>
      <c r="E11" s="508">
        <f t="shared" si="0"/>
        <v>165.20006336131792</v>
      </c>
      <c r="F11" s="475">
        <v>503699</v>
      </c>
      <c r="G11" s="475">
        <v>2692600</v>
      </c>
      <c r="H11" s="508">
        <f t="shared" si="1"/>
        <v>187.06788977196763</v>
      </c>
      <c r="I11" s="475">
        <f>SUM(C7:C11)+F19</f>
        <v>3085933</v>
      </c>
      <c r="J11" s="475">
        <f>SUM(D7:D11)+G19</f>
        <v>16588783.333333332</v>
      </c>
      <c r="K11" s="475">
        <f>SUM(C7:C11)+SUM(F18:F19)+SUM(F12:F16)</f>
        <v>6389012.717</v>
      </c>
      <c r="L11" s="475">
        <f>SUM(D7:D11)+SUM(G18:G19)+SUM(G12:G16)</f>
        <v>33391589.666666664</v>
      </c>
      <c r="M11" s="806"/>
      <c r="N11" s="754"/>
    </row>
    <row r="12" spans="1:14" ht="12.75" customHeight="1">
      <c r="A12" s="486"/>
      <c r="B12" s="104" t="s">
        <v>133</v>
      </c>
      <c r="C12" s="475">
        <v>392821</v>
      </c>
      <c r="D12" s="475">
        <v>2386266.6666666665</v>
      </c>
      <c r="E12" s="508">
        <f t="shared" si="0"/>
        <v>164.61739397664414</v>
      </c>
      <c r="F12" s="475">
        <v>498929</v>
      </c>
      <c r="G12" s="475">
        <v>2622166.6666666665</v>
      </c>
      <c r="H12" s="508">
        <f t="shared" si="1"/>
        <v>190.27356511790506</v>
      </c>
      <c r="I12" s="475">
        <f aca="true" t="shared" si="2" ref="I12:J16">SUM(C7:C12)</f>
        <v>2855692</v>
      </c>
      <c r="J12" s="475">
        <f t="shared" si="2"/>
        <v>15930333.333333332</v>
      </c>
      <c r="K12" s="475">
        <f>SUM(C7:C12)+SUM(F18:F19)+SUM(F13:F16)</f>
        <v>6282904.717</v>
      </c>
      <c r="L12" s="475">
        <f>SUM(D7:D12)+SUM(G18:G19)+SUM(G13:G16)</f>
        <v>33155689.666666664</v>
      </c>
      <c r="M12" s="806"/>
      <c r="N12" s="754"/>
    </row>
    <row r="13" spans="1:14" ht="12.75" customHeight="1">
      <c r="A13" s="486"/>
      <c r="B13" s="104" t="s">
        <v>135</v>
      </c>
      <c r="C13" s="475">
        <v>405777</v>
      </c>
      <c r="D13" s="475">
        <v>2499100</v>
      </c>
      <c r="E13" s="508">
        <f t="shared" si="0"/>
        <v>162.36925293105517</v>
      </c>
      <c r="F13" s="475">
        <v>521650</v>
      </c>
      <c r="G13" s="475">
        <v>2769384</v>
      </c>
      <c r="H13" s="508">
        <f t="shared" si="1"/>
        <v>188.36318834802253</v>
      </c>
      <c r="I13" s="475">
        <f t="shared" si="2"/>
        <v>2715181</v>
      </c>
      <c r="J13" s="475">
        <f t="shared" si="2"/>
        <v>15704683.333333332</v>
      </c>
      <c r="K13" s="475">
        <f>SUM(C7:C13)+SUM(F18:F19)+SUM(F14:F16)</f>
        <v>6167031.717</v>
      </c>
      <c r="L13" s="475">
        <f>SUM(D7:D13)+SUM(G18:G19)+SUM(G14:G16)</f>
        <v>32885405.666666664</v>
      </c>
      <c r="M13" s="806"/>
      <c r="N13" s="754"/>
    </row>
    <row r="14" spans="1:14" ht="12.75" customHeight="1">
      <c r="A14" s="486"/>
      <c r="B14" s="104" t="s">
        <v>136</v>
      </c>
      <c r="C14" s="496">
        <v>424162</v>
      </c>
      <c r="D14" s="496">
        <v>2669921</v>
      </c>
      <c r="E14" s="508">
        <f t="shared" si="0"/>
        <v>158.86687284005782</v>
      </c>
      <c r="F14" s="496">
        <v>510657</v>
      </c>
      <c r="G14" s="496">
        <v>2689733.3333333335</v>
      </c>
      <c r="H14" s="508">
        <f>(F14*1000)/G14</f>
        <v>189.85413671739454</v>
      </c>
      <c r="I14" s="475">
        <f t="shared" si="2"/>
        <v>2645861</v>
      </c>
      <c r="J14" s="475">
        <f t="shared" si="2"/>
        <v>15861137.666666666</v>
      </c>
      <c r="K14" s="475">
        <f>SUM(C7:C14)+SUM(F18:F19)+SUM(F15+F16)</f>
        <v>6080536.717</v>
      </c>
      <c r="L14" s="475">
        <f>SUM(D7:D14)+SUM(G18:G19)+SUM(G15+G16)</f>
        <v>32865593.333333332</v>
      </c>
      <c r="M14" s="806"/>
      <c r="N14" s="754"/>
    </row>
    <row r="15" spans="1:14" ht="12.75" customHeight="1">
      <c r="A15" s="486"/>
      <c r="B15" s="104" t="s">
        <v>137</v>
      </c>
      <c r="C15" s="475">
        <v>456927.7</v>
      </c>
      <c r="D15" s="475">
        <v>2918545.8</v>
      </c>
      <c r="E15" s="508">
        <f t="shared" si="0"/>
        <v>156.5600580946854</v>
      </c>
      <c r="F15" s="475">
        <v>554940.717</v>
      </c>
      <c r="G15" s="475">
        <v>2763139</v>
      </c>
      <c r="H15" s="508">
        <f>(F15*1000)/G15</f>
        <v>200.83706140009605</v>
      </c>
      <c r="I15" s="475">
        <f t="shared" si="2"/>
        <v>2583080.7</v>
      </c>
      <c r="J15" s="475">
        <f t="shared" si="2"/>
        <v>15919300.133333333</v>
      </c>
      <c r="K15" s="475">
        <f>SUM(C7:C15)+SUM(F18:F19)+F16</f>
        <v>5982523.7</v>
      </c>
      <c r="L15" s="475">
        <f>SUM(D7:D15)+SUM(G18:G19)+G16</f>
        <v>33021000.133333333</v>
      </c>
      <c r="M15" s="806"/>
      <c r="N15" s="754"/>
    </row>
    <row r="16" spans="1:14" ht="12.75" customHeight="1">
      <c r="A16" s="486"/>
      <c r="B16" s="104" t="s">
        <v>138</v>
      </c>
      <c r="C16" s="475">
        <v>501694</v>
      </c>
      <c r="D16" s="475">
        <v>3306499</v>
      </c>
      <c r="E16" s="508">
        <f t="shared" si="0"/>
        <v>151.72966935722647</v>
      </c>
      <c r="F16" s="475">
        <v>643800</v>
      </c>
      <c r="G16" s="475">
        <v>3094300</v>
      </c>
      <c r="H16" s="508">
        <f>(F16*1000)/G16</f>
        <v>208.05998125585754</v>
      </c>
      <c r="I16" s="482">
        <f t="shared" si="2"/>
        <v>2615926.7</v>
      </c>
      <c r="J16" s="476">
        <f t="shared" si="2"/>
        <v>16410749.133333333</v>
      </c>
      <c r="K16" s="476">
        <f>SUM(C7:C16)+SUM(F18:F19)</f>
        <v>5840417.7</v>
      </c>
      <c r="L16" s="476">
        <f>SUM(D7:D16)+SUM(G18:G19)</f>
        <v>33233199.133333333</v>
      </c>
      <c r="M16" s="807"/>
      <c r="N16" s="754"/>
    </row>
    <row r="17" spans="1:13" ht="12.75" customHeight="1">
      <c r="A17" s="486"/>
      <c r="B17" s="499" t="s">
        <v>134</v>
      </c>
      <c r="C17" s="478">
        <f>SUM(C7:C16)</f>
        <v>4644252.7</v>
      </c>
      <c r="D17" s="478">
        <f>SUM(D7:D16)</f>
        <v>27324399.133333333</v>
      </c>
      <c r="E17" s="484">
        <f>(C17*1000)/D17</f>
        <v>169.96723980416556</v>
      </c>
      <c r="F17" s="478">
        <f>SUM(F7:F16)</f>
        <v>4844935.717</v>
      </c>
      <c r="G17" s="478">
        <f>SUM(G7:G16)</f>
        <v>27199639.666666664</v>
      </c>
      <c r="H17" s="484">
        <f>(F17*1000)/G17</f>
        <v>178.12499637403286</v>
      </c>
      <c r="I17" s="475"/>
      <c r="J17" s="475"/>
      <c r="K17" s="475"/>
      <c r="L17" s="497"/>
      <c r="M17" s="486"/>
    </row>
    <row r="18" spans="1:13" ht="12.75" customHeight="1">
      <c r="A18" s="486"/>
      <c r="B18" s="104" t="s">
        <v>139</v>
      </c>
      <c r="C18" s="475">
        <v>0</v>
      </c>
      <c r="D18" s="475">
        <v>0</v>
      </c>
      <c r="E18" s="508">
        <v>0</v>
      </c>
      <c r="F18" s="475">
        <v>573103</v>
      </c>
      <c r="G18" s="475">
        <v>2864083.3333333335</v>
      </c>
      <c r="H18" s="508">
        <f t="shared" si="1"/>
        <v>200.0999738136111</v>
      </c>
      <c r="I18" s="475"/>
      <c r="J18" s="475"/>
      <c r="K18" s="475"/>
      <c r="L18" s="497"/>
      <c r="M18" s="486"/>
    </row>
    <row r="19" spans="1:13" ht="12.75" customHeight="1">
      <c r="A19" s="486"/>
      <c r="B19" s="104" t="s">
        <v>140</v>
      </c>
      <c r="C19" s="475">
        <v>0</v>
      </c>
      <c r="D19" s="475">
        <v>0</v>
      </c>
      <c r="E19" s="508">
        <v>0</v>
      </c>
      <c r="F19" s="475">
        <v>623062</v>
      </c>
      <c r="G19" s="475">
        <v>3044716.6666666665</v>
      </c>
      <c r="H19" s="483">
        <f t="shared" si="1"/>
        <v>204.63710361664744</v>
      </c>
      <c r="I19" s="475"/>
      <c r="J19" s="475"/>
      <c r="K19" s="475"/>
      <c r="L19" s="497"/>
      <c r="M19" s="486"/>
    </row>
    <row r="20" spans="1:13" ht="12.75" customHeight="1">
      <c r="A20" s="486"/>
      <c r="B20" s="499" t="s">
        <v>134</v>
      </c>
      <c r="C20" s="478"/>
      <c r="D20" s="478"/>
      <c r="E20" s="479"/>
      <c r="F20" s="477">
        <f>SUM(F18:F19)</f>
        <v>1196165</v>
      </c>
      <c r="G20" s="480">
        <f>SUM(G18:G19)</f>
        <v>5908800</v>
      </c>
      <c r="H20" s="481">
        <f>(F20*1000)/G20</f>
        <v>202.4378892499323</v>
      </c>
      <c r="I20" s="328"/>
      <c r="J20" s="328"/>
      <c r="K20" s="328"/>
      <c r="L20" s="500"/>
      <c r="M20" s="486"/>
    </row>
    <row r="21" spans="1:13" ht="12.75" customHeight="1">
      <c r="A21" s="486"/>
      <c r="B21" s="499" t="s">
        <v>120</v>
      </c>
      <c r="C21" s="482">
        <f>SUM(C17+C20)</f>
        <v>4644252.7</v>
      </c>
      <c r="D21" s="476">
        <f>SUM(D17+D20)</f>
        <v>27324399.133333333</v>
      </c>
      <c r="E21" s="483">
        <f>(C21*1000)/D21</f>
        <v>169.96723980416556</v>
      </c>
      <c r="F21" s="478">
        <f>F17+F20</f>
        <v>6041100.717</v>
      </c>
      <c r="G21" s="478">
        <f>G17+G20</f>
        <v>33108439.666666664</v>
      </c>
      <c r="H21" s="484">
        <f>(F21*1000)/G21</f>
        <v>182.46407193517297</v>
      </c>
      <c r="I21" s="346"/>
      <c r="J21" s="346"/>
      <c r="K21" s="346"/>
      <c r="L21" s="501"/>
      <c r="M21" s="486"/>
    </row>
    <row r="22" spans="1:13" ht="12.75" customHeight="1">
      <c r="A22" s="486"/>
      <c r="B22" s="502" t="s">
        <v>121</v>
      </c>
      <c r="C22" s="503"/>
      <c r="D22" s="503"/>
      <c r="E22" s="150"/>
      <c r="F22" s="485" t="s">
        <v>149</v>
      </c>
      <c r="G22" s="504"/>
      <c r="H22" s="150"/>
      <c r="I22" s="150"/>
      <c r="J22" s="485" t="s">
        <v>142</v>
      </c>
      <c r="K22" s="150"/>
      <c r="L22" s="92"/>
      <c r="M22" s="486"/>
    </row>
    <row r="23" spans="1:13" ht="12.75" customHeight="1">
      <c r="A23" s="486"/>
      <c r="B23" s="502" t="s">
        <v>387</v>
      </c>
      <c r="C23" s="503"/>
      <c r="D23" s="503"/>
      <c r="E23" s="150"/>
      <c r="F23" s="485" t="s">
        <v>141</v>
      </c>
      <c r="G23" s="504"/>
      <c r="H23" s="150"/>
      <c r="I23" s="150"/>
      <c r="J23" s="485" t="s">
        <v>143</v>
      </c>
      <c r="K23" s="150"/>
      <c r="L23" s="92"/>
      <c r="M23" s="486"/>
    </row>
    <row r="24" spans="1:13" ht="14.25">
      <c r="A24" s="486"/>
      <c r="B24" s="157"/>
      <c r="C24" s="503"/>
      <c r="D24" s="503"/>
      <c r="E24" s="150"/>
      <c r="F24" s="504"/>
      <c r="G24" s="504"/>
      <c r="H24" s="150"/>
      <c r="I24" s="150"/>
      <c r="J24" s="150"/>
      <c r="K24" s="150"/>
      <c r="L24" s="92"/>
      <c r="M24" s="486"/>
    </row>
    <row r="25" spans="1:13" ht="14.25">
      <c r="A25" s="486"/>
      <c r="B25" s="505"/>
      <c r="C25" s="503"/>
      <c r="D25" s="503"/>
      <c r="E25" s="158"/>
      <c r="F25" s="158"/>
      <c r="G25" s="158"/>
      <c r="H25" s="158"/>
      <c r="I25" s="158"/>
      <c r="J25" s="158"/>
      <c r="K25" s="158"/>
      <c r="L25" s="159"/>
      <c r="M25" s="486"/>
    </row>
    <row r="26" spans="1:13" ht="14.25">
      <c r="A26" s="486"/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92"/>
      <c r="M26" s="486"/>
    </row>
    <row r="27" spans="1:13" ht="14.25">
      <c r="A27" s="486"/>
      <c r="B27" s="155"/>
      <c r="C27" s="150"/>
      <c r="D27" s="150"/>
      <c r="E27" s="150"/>
      <c r="F27" s="150"/>
      <c r="G27" s="150"/>
      <c r="H27" s="150"/>
      <c r="I27" s="150"/>
      <c r="J27" s="150"/>
      <c r="K27" s="150"/>
      <c r="L27" s="92"/>
      <c r="M27" s="486"/>
    </row>
    <row r="28" spans="1:13" ht="14.25">
      <c r="A28" s="486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92"/>
      <c r="M28" s="486"/>
    </row>
    <row r="29" spans="1:13" ht="14.25">
      <c r="A29" s="486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92"/>
      <c r="M29" s="486"/>
    </row>
    <row r="30" spans="1:13" ht="14.25">
      <c r="A30" s="486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92"/>
      <c r="M30" s="486"/>
    </row>
    <row r="31" spans="1:13" ht="14.25">
      <c r="A31" s="486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92"/>
      <c r="M31" s="486"/>
    </row>
    <row r="32" spans="1:13" ht="14.25">
      <c r="A32" s="486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92"/>
      <c r="M32" s="486"/>
    </row>
    <row r="33" spans="1:13" ht="14.25">
      <c r="A33" s="486"/>
      <c r="B33" s="155"/>
      <c r="C33" s="150"/>
      <c r="D33" s="150"/>
      <c r="E33" s="150"/>
      <c r="F33" s="150"/>
      <c r="G33" s="150"/>
      <c r="H33" s="150"/>
      <c r="I33" s="150"/>
      <c r="J33" s="150"/>
      <c r="K33" s="150"/>
      <c r="L33" s="92"/>
      <c r="M33" s="486"/>
    </row>
    <row r="34" spans="1:13" ht="14.25">
      <c r="A34" s="486"/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92"/>
      <c r="M34" s="486"/>
    </row>
    <row r="35" spans="1:13" ht="14.25">
      <c r="A35" s="486"/>
      <c r="B35" s="506"/>
      <c r="C35" s="128"/>
      <c r="D35" s="128"/>
      <c r="E35" s="128"/>
      <c r="F35" s="128"/>
      <c r="G35" s="128"/>
      <c r="H35" s="128"/>
      <c r="I35" s="128"/>
      <c r="J35" s="128"/>
      <c r="K35" s="128"/>
      <c r="L35" s="507"/>
      <c r="M35" s="486"/>
    </row>
    <row r="36" spans="1:13" ht="15" customHeight="1">
      <c r="A36" s="486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6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4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4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6">
    <mergeCell ref="B2:L2"/>
    <mergeCell ref="B3:L3"/>
    <mergeCell ref="C5:E5"/>
    <mergeCell ref="F5:H5"/>
    <mergeCell ref="I5:J5"/>
    <mergeCell ref="K5:L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10.7109375" style="2" customWidth="1"/>
    <col min="4" max="4" width="11.28125" style="2" bestFit="1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8.25" customHeight="1">
      <c r="A2" s="486"/>
      <c r="B2" s="955"/>
      <c r="C2" s="956"/>
      <c r="D2" s="956"/>
      <c r="E2" s="956"/>
      <c r="F2" s="956"/>
      <c r="G2" s="956"/>
      <c r="H2" s="956"/>
      <c r="I2" s="956"/>
      <c r="J2" s="956"/>
      <c r="K2" s="956"/>
      <c r="L2" s="957"/>
      <c r="M2" s="486"/>
    </row>
    <row r="3" spans="1:13" ht="20.25" customHeight="1">
      <c r="A3" s="486"/>
      <c r="B3" s="958" t="s">
        <v>144</v>
      </c>
      <c r="C3" s="959"/>
      <c r="D3" s="959"/>
      <c r="E3" s="959"/>
      <c r="F3" s="959"/>
      <c r="G3" s="959"/>
      <c r="H3" s="959"/>
      <c r="I3" s="959"/>
      <c r="J3" s="959"/>
      <c r="K3" s="959"/>
      <c r="L3" s="960"/>
      <c r="M3" s="486"/>
    </row>
    <row r="4" spans="1:13" ht="13.5" customHeight="1">
      <c r="A4" s="486"/>
      <c r="B4" s="489"/>
      <c r="C4" s="490"/>
      <c r="D4" s="490"/>
      <c r="E4" s="491"/>
      <c r="F4" s="491"/>
      <c r="G4" s="491"/>
      <c r="H4" s="491"/>
      <c r="I4" s="491"/>
      <c r="J4" s="491"/>
      <c r="K4" s="491"/>
      <c r="L4" s="492"/>
      <c r="M4" s="486"/>
    </row>
    <row r="5" spans="1:13" ht="12.75" customHeight="1">
      <c r="A5" s="486"/>
      <c r="B5" s="493" t="s">
        <v>123</v>
      </c>
      <c r="C5" s="961">
        <v>2015</v>
      </c>
      <c r="D5" s="962"/>
      <c r="E5" s="963"/>
      <c r="F5" s="961">
        <v>2014</v>
      </c>
      <c r="G5" s="962"/>
      <c r="H5" s="963"/>
      <c r="I5" s="961" t="s">
        <v>124</v>
      </c>
      <c r="J5" s="963"/>
      <c r="K5" s="961" t="s">
        <v>125</v>
      </c>
      <c r="L5" s="963"/>
      <c r="M5" s="486"/>
    </row>
    <row r="6" spans="1:13" ht="12.75" customHeight="1">
      <c r="A6" s="486"/>
      <c r="B6" s="494"/>
      <c r="C6" s="470" t="s">
        <v>126</v>
      </c>
      <c r="D6" s="471" t="s">
        <v>127</v>
      </c>
      <c r="E6" s="472" t="s">
        <v>13</v>
      </c>
      <c r="F6" s="470" t="s">
        <v>126</v>
      </c>
      <c r="G6" s="471" t="s">
        <v>127</v>
      </c>
      <c r="H6" s="472" t="s">
        <v>13</v>
      </c>
      <c r="I6" s="473" t="s">
        <v>126</v>
      </c>
      <c r="J6" s="474" t="s">
        <v>127</v>
      </c>
      <c r="K6" s="470" t="s">
        <v>126</v>
      </c>
      <c r="L6" s="495" t="s">
        <v>127</v>
      </c>
      <c r="M6" s="486"/>
    </row>
    <row r="7" spans="1:13" ht="12.75" customHeight="1">
      <c r="A7" s="486"/>
      <c r="B7" s="91" t="s">
        <v>128</v>
      </c>
      <c r="C7" s="510">
        <v>39831</v>
      </c>
      <c r="D7" s="510">
        <v>228973.33333333334</v>
      </c>
      <c r="E7" s="481">
        <f aca="true" t="shared" si="0" ref="E7:E17">(C7*1000)/D7</f>
        <v>173.95475455657134</v>
      </c>
      <c r="F7" s="510">
        <v>48347</v>
      </c>
      <c r="G7" s="510">
        <v>284700</v>
      </c>
      <c r="H7" s="481">
        <f aca="true" t="shared" si="1" ref="H7:H20">(F7*1000)/G7</f>
        <v>169.8173515981735</v>
      </c>
      <c r="I7" s="475">
        <f>C7+SUM(F18:F19)+SUM(F14:F16)</f>
        <v>282612</v>
      </c>
      <c r="J7" s="475">
        <f>D7+SUM(G18:G19)+SUM(G14:G16)</f>
        <v>1572574.38</v>
      </c>
      <c r="K7" s="475">
        <f>SUM(B7)+SUM(F18:F19)+SUM(F8:F16)</f>
        <v>514977</v>
      </c>
      <c r="L7" s="509">
        <f>SUM(C7)+SUM(G18:G19)+SUM(G8:G16)</f>
        <v>3000545.38</v>
      </c>
      <c r="M7" s="486"/>
    </row>
    <row r="8" spans="1:13" ht="12.75" customHeight="1">
      <c r="A8" s="486"/>
      <c r="B8" s="104" t="s">
        <v>129</v>
      </c>
      <c r="C8" s="510">
        <v>42123</v>
      </c>
      <c r="D8" s="510">
        <v>235993.33333333334</v>
      </c>
      <c r="E8" s="508">
        <f t="shared" si="0"/>
        <v>178.49233029181616</v>
      </c>
      <c r="F8" s="510">
        <v>41030</v>
      </c>
      <c r="G8" s="510">
        <v>246653.33333333334</v>
      </c>
      <c r="H8" s="508">
        <f t="shared" si="1"/>
        <v>166.3468295583545</v>
      </c>
      <c r="I8" s="475">
        <f>SUM(C7:C8)+SUM(F18:F19)+SUM(F15+F16)</f>
        <v>271870</v>
      </c>
      <c r="J8" s="475">
        <f>SUM(D7:D8)+SUM(G18:G19)+SUM(G15+G16)</f>
        <v>1517151.0466666669</v>
      </c>
      <c r="K8" s="475">
        <f>SUM(B7:B8)+SUM(F18:F19)+SUM(F9:F16)</f>
        <v>473947</v>
      </c>
      <c r="L8" s="497">
        <f>SUM(C7:C8)+SUM(G18:G19)+SUM(G9:G16)</f>
        <v>2796015.0466666664</v>
      </c>
      <c r="M8" s="486"/>
    </row>
    <row r="9" spans="1:13" ht="12.75" customHeight="1">
      <c r="A9" s="486"/>
      <c r="B9" s="104" t="s">
        <v>130</v>
      </c>
      <c r="C9" s="510">
        <v>50779</v>
      </c>
      <c r="D9" s="510">
        <v>289813.3333333333</v>
      </c>
      <c r="E9" s="508">
        <f t="shared" si="0"/>
        <v>175.21278064041223</v>
      </c>
      <c r="F9" s="510">
        <v>37647</v>
      </c>
      <c r="G9" s="510">
        <v>225203.33333333334</v>
      </c>
      <c r="H9" s="508">
        <f t="shared" si="1"/>
        <v>167.16892881988127</v>
      </c>
      <c r="I9" s="475">
        <f>SUM(C7:C9)+SUM(F18:F19)+F16</f>
        <v>269081</v>
      </c>
      <c r="J9" s="475">
        <f>SUM(D7:D9)+SUM(G18:G19)+G16</f>
        <v>1504867</v>
      </c>
      <c r="K9" s="475">
        <f>SUM(C7:C9)+SUM(F18:F19)+SUM(F10:F16)</f>
        <v>569033</v>
      </c>
      <c r="L9" s="497">
        <f>SUM(D7:D9)+SUM(G18:G19)+SUM(G10:G16)</f>
        <v>3243637.7133333334</v>
      </c>
      <c r="M9" s="486"/>
    </row>
    <row r="10" spans="1:13" ht="12.75" customHeight="1">
      <c r="A10" s="486"/>
      <c r="B10" s="104" t="s">
        <v>131</v>
      </c>
      <c r="C10" s="510">
        <v>51658</v>
      </c>
      <c r="D10" s="510">
        <v>306626.6666666667</v>
      </c>
      <c r="E10" s="508">
        <f t="shared" si="0"/>
        <v>168.4719746053833</v>
      </c>
      <c r="F10" s="510">
        <v>48691</v>
      </c>
      <c r="G10" s="510">
        <v>293063.3333333333</v>
      </c>
      <c r="H10" s="508">
        <f t="shared" si="1"/>
        <v>166.14497435139162</v>
      </c>
      <c r="I10" s="475">
        <f>SUM(C7:C10)+SUM(F18:F19)</f>
        <v>275894</v>
      </c>
      <c r="J10" s="475">
        <f>SUM(D7:D10)+SUM(G18:G19)</f>
        <v>1565676.6666666667</v>
      </c>
      <c r="K10" s="475">
        <f>SUM(C7:C10)+SUM(F18:F19)+SUM(F11:F16)</f>
        <v>572000</v>
      </c>
      <c r="L10" s="497">
        <f>SUM(D7:D10)+SUM(G18:G19)+SUM(G11:G16)</f>
        <v>3257201.046666667</v>
      </c>
      <c r="M10" s="486"/>
    </row>
    <row r="11" spans="1:13" ht="12.75" customHeight="1">
      <c r="A11" s="486"/>
      <c r="B11" s="104" t="s">
        <v>132</v>
      </c>
      <c r="C11" s="510">
        <v>44442</v>
      </c>
      <c r="D11" s="510">
        <v>266023.3333333333</v>
      </c>
      <c r="E11" s="508">
        <f t="shared" si="0"/>
        <v>167.06053353715842</v>
      </c>
      <c r="F11" s="510">
        <v>43749</v>
      </c>
      <c r="G11" s="510">
        <v>268016.6666666667</v>
      </c>
      <c r="H11" s="508">
        <f t="shared" si="1"/>
        <v>163.23238604564392</v>
      </c>
      <c r="I11" s="475">
        <f>SUM(C7:C11)+F19</f>
        <v>282895</v>
      </c>
      <c r="J11" s="475">
        <f>SUM(D7:D11)+G19</f>
        <v>1624956.6666666667</v>
      </c>
      <c r="K11" s="475">
        <f>SUM(C7:C11)+SUM(F18:F19)+SUM(F12:F16)</f>
        <v>572693</v>
      </c>
      <c r="L11" s="497">
        <f>SUM(D7:D11)+SUM(G18:G19)+SUM(G12:G16)</f>
        <v>3255207.7133333334</v>
      </c>
      <c r="M11" s="486"/>
    </row>
    <row r="12" spans="1:13" ht="12.75" customHeight="1">
      <c r="A12" s="486"/>
      <c r="B12" s="104" t="s">
        <v>133</v>
      </c>
      <c r="C12" s="510">
        <v>51099</v>
      </c>
      <c r="D12" s="510">
        <v>307406.6666666667</v>
      </c>
      <c r="E12" s="508">
        <f t="shared" si="0"/>
        <v>166.22606319533298</v>
      </c>
      <c r="F12" s="510">
        <v>45827</v>
      </c>
      <c r="G12" s="510">
        <v>270053.3333333333</v>
      </c>
      <c r="H12" s="508">
        <f t="shared" si="1"/>
        <v>169.69610941048683</v>
      </c>
      <c r="I12" s="475">
        <f aca="true" t="shared" si="2" ref="I12:J16">SUM(C7:C12)</f>
        <v>279932</v>
      </c>
      <c r="J12" s="475">
        <f t="shared" si="2"/>
        <v>1634836.6666666667</v>
      </c>
      <c r="K12" s="475">
        <f>SUM(C7:C12)+SUM(F18:F19)+SUM(F13:F16)</f>
        <v>577965</v>
      </c>
      <c r="L12" s="497">
        <f>SUM(D7:D12)+SUM(G18:G19)+SUM(G13:G16)</f>
        <v>3292561.046666667</v>
      </c>
      <c r="M12" s="486"/>
    </row>
    <row r="13" spans="1:13" ht="12.75" customHeight="1">
      <c r="A13" s="486"/>
      <c r="B13" s="104" t="s">
        <v>135</v>
      </c>
      <c r="C13" s="510">
        <v>50698</v>
      </c>
      <c r="D13" s="510">
        <v>315553</v>
      </c>
      <c r="E13" s="508">
        <f t="shared" si="0"/>
        <v>160.66397720826612</v>
      </c>
      <c r="F13" s="511">
        <v>55252</v>
      </c>
      <c r="G13" s="511">
        <v>314123.3333333333</v>
      </c>
      <c r="H13" s="508">
        <f t="shared" si="1"/>
        <v>175.89269607479017</v>
      </c>
      <c r="I13" s="475">
        <f t="shared" si="2"/>
        <v>290799</v>
      </c>
      <c r="J13" s="475">
        <f t="shared" si="2"/>
        <v>1721416.3333333333</v>
      </c>
      <c r="K13" s="475">
        <f>SUM(C7:C13)+SUM(F18:F19)+SUM(F14:F16)</f>
        <v>573411</v>
      </c>
      <c r="L13" s="497">
        <f>SUM(D7:D13)+SUM(G18:G19)+SUM(G14:G16)</f>
        <v>3293990.713333334</v>
      </c>
      <c r="M13" s="486"/>
    </row>
    <row r="14" spans="1:13" ht="12.75" customHeight="1">
      <c r="A14" s="486"/>
      <c r="B14" s="104" t="s">
        <v>136</v>
      </c>
      <c r="C14" s="510">
        <v>50178.065</v>
      </c>
      <c r="D14" s="510">
        <v>306961.113</v>
      </c>
      <c r="E14" s="508">
        <f t="shared" si="0"/>
        <v>163.4671718172979</v>
      </c>
      <c r="F14" s="510">
        <v>52865</v>
      </c>
      <c r="G14" s="510">
        <v>291416.6666666667</v>
      </c>
      <c r="H14" s="508">
        <f>(F14*1000)/G14</f>
        <v>181.40692021732912</v>
      </c>
      <c r="I14" s="475">
        <f t="shared" si="2"/>
        <v>298854.065</v>
      </c>
      <c r="J14" s="475">
        <f t="shared" si="2"/>
        <v>1792384.113</v>
      </c>
      <c r="K14" s="475">
        <f>SUM(C7:C14)+SUM(F18:F19)+SUM(F15+F16)</f>
        <v>570724.065</v>
      </c>
      <c r="L14" s="497">
        <f>SUM(D7:D14)+SUM(G18:G19)+SUM(G15+G16)</f>
        <v>3309535.1596666668</v>
      </c>
      <c r="M14" s="486"/>
    </row>
    <row r="15" spans="1:13" ht="12.75" customHeight="1">
      <c r="A15" s="486"/>
      <c r="B15" s="104" t="s">
        <v>137</v>
      </c>
      <c r="C15" s="510">
        <v>47654.6</v>
      </c>
      <c r="D15" s="510">
        <v>297746.4</v>
      </c>
      <c r="E15" s="508">
        <f t="shared" si="0"/>
        <v>160.0509695499257</v>
      </c>
      <c r="F15" s="510">
        <v>53568</v>
      </c>
      <c r="G15" s="510">
        <v>302097.38</v>
      </c>
      <c r="H15" s="508">
        <f>(F15*1000)/G15</f>
        <v>177.32030645217776</v>
      </c>
      <c r="I15" s="475">
        <f t="shared" si="2"/>
        <v>295729.665</v>
      </c>
      <c r="J15" s="475">
        <f t="shared" si="2"/>
        <v>1800317.1796666668</v>
      </c>
      <c r="K15" s="475">
        <f>SUM(C7:C15)+SUM(F18:F19)+F16</f>
        <v>564810.665</v>
      </c>
      <c r="L15" s="497">
        <f>SUM(D7:D15)+SUM(G18:G19)+G16</f>
        <v>3305184.179666667</v>
      </c>
      <c r="M15" s="486"/>
    </row>
    <row r="16" spans="1:13" ht="12.75" customHeight="1">
      <c r="A16" s="486"/>
      <c r="B16" s="104" t="s">
        <v>138</v>
      </c>
      <c r="C16" s="510">
        <v>46968.487</v>
      </c>
      <c r="D16" s="510">
        <v>298776.53</v>
      </c>
      <c r="E16" s="508">
        <f t="shared" si="0"/>
        <v>157.20273275815873</v>
      </c>
      <c r="F16" s="510">
        <v>44845</v>
      </c>
      <c r="G16" s="510">
        <v>245817</v>
      </c>
      <c r="H16" s="483">
        <f>(F16*1000)/G16</f>
        <v>182.43245991937093</v>
      </c>
      <c r="I16" s="482">
        <f t="shared" si="2"/>
        <v>291040.152</v>
      </c>
      <c r="J16" s="476">
        <f t="shared" si="2"/>
        <v>1792467.0429999998</v>
      </c>
      <c r="K16" s="476">
        <f>SUM(C7:C16)+SUM(F18:F19)</f>
        <v>566934.152</v>
      </c>
      <c r="L16" s="498">
        <f>SUM(D7:D16)+SUM(G18:G19)</f>
        <v>3358143.7096666666</v>
      </c>
      <c r="M16" s="487"/>
    </row>
    <row r="17" spans="1:13" ht="12.75" customHeight="1">
      <c r="A17" s="486"/>
      <c r="B17" s="499" t="s">
        <v>134</v>
      </c>
      <c r="C17" s="477">
        <f>SUM(C7:C16)</f>
        <v>475431.152</v>
      </c>
      <c r="D17" s="478">
        <f>SUM(D7:D16)</f>
        <v>2853873.7096666666</v>
      </c>
      <c r="E17" s="484">
        <f t="shared" si="0"/>
        <v>166.5915174836277</v>
      </c>
      <c r="F17" s="478">
        <f>SUM(F7:F16)</f>
        <v>471821</v>
      </c>
      <c r="G17" s="478">
        <f>SUM(G7:G16)</f>
        <v>2741144.38</v>
      </c>
      <c r="H17" s="484">
        <f t="shared" si="1"/>
        <v>172.1255558235134</v>
      </c>
      <c r="I17" s="512"/>
      <c r="J17" s="512"/>
      <c r="K17" s="512"/>
      <c r="L17" s="500"/>
      <c r="M17" s="486"/>
    </row>
    <row r="18" spans="1:13" ht="12.75" customHeight="1">
      <c r="A18" s="486"/>
      <c r="B18" s="104" t="s">
        <v>139</v>
      </c>
      <c r="C18" s="510"/>
      <c r="D18" s="510"/>
      <c r="E18" s="508"/>
      <c r="F18" s="510">
        <v>37441</v>
      </c>
      <c r="G18" s="510">
        <v>206743.33333333334</v>
      </c>
      <c r="H18" s="508">
        <f t="shared" si="1"/>
        <v>181.09894716476146</v>
      </c>
      <c r="I18" s="510"/>
      <c r="J18" s="510"/>
      <c r="K18" s="510"/>
      <c r="L18" s="497"/>
      <c r="M18" s="486"/>
    </row>
    <row r="19" spans="1:13" ht="12.75" customHeight="1">
      <c r="A19" s="486"/>
      <c r="B19" s="104" t="s">
        <v>140</v>
      </c>
      <c r="C19" s="510"/>
      <c r="D19" s="510"/>
      <c r="E19" s="508"/>
      <c r="F19" s="510">
        <v>54062</v>
      </c>
      <c r="G19" s="510">
        <v>297526.6666666667</v>
      </c>
      <c r="H19" s="483">
        <f t="shared" si="1"/>
        <v>181.70472114544353</v>
      </c>
      <c r="I19" s="510"/>
      <c r="J19" s="510"/>
      <c r="K19" s="510"/>
      <c r="L19" s="497"/>
      <c r="M19" s="486"/>
    </row>
    <row r="20" spans="1:13" ht="12.75" customHeight="1">
      <c r="A20" s="486"/>
      <c r="B20" s="499" t="s">
        <v>134</v>
      </c>
      <c r="C20" s="477"/>
      <c r="D20" s="478"/>
      <c r="E20" s="514"/>
      <c r="F20" s="478">
        <f>SUM(F18:F19)</f>
        <v>91503</v>
      </c>
      <c r="G20" s="478">
        <f>SUM(G18:G19)</f>
        <v>504270</v>
      </c>
      <c r="H20" s="483">
        <f t="shared" si="1"/>
        <v>181.4563626628592</v>
      </c>
      <c r="I20" s="328"/>
      <c r="J20" s="328"/>
      <c r="K20" s="328"/>
      <c r="L20" s="500"/>
      <c r="M20" s="486"/>
    </row>
    <row r="21" spans="1:13" ht="12.75" customHeight="1">
      <c r="A21" s="486"/>
      <c r="B21" s="499" t="s">
        <v>120</v>
      </c>
      <c r="C21" s="482">
        <f>SUM(C17+C20)</f>
        <v>475431.152</v>
      </c>
      <c r="D21" s="482">
        <f>SUM(D17+D20)</f>
        <v>2853873.7096666666</v>
      </c>
      <c r="E21" s="483">
        <f>(C21*1000)/D21</f>
        <v>166.5915174836277</v>
      </c>
      <c r="F21" s="478">
        <f>SUM(F17+F20)</f>
        <v>563324</v>
      </c>
      <c r="G21" s="478">
        <f>SUM(G17+G20)</f>
        <v>3245414.38</v>
      </c>
      <c r="H21" s="484">
        <f>(F21*1000)/G21</f>
        <v>173.57536944172904</v>
      </c>
      <c r="I21" s="346"/>
      <c r="J21" s="346"/>
      <c r="K21" s="346"/>
      <c r="L21" s="501"/>
      <c r="M21" s="486"/>
    </row>
    <row r="22" spans="1:13" ht="12.75" customHeight="1">
      <c r="A22" s="486"/>
      <c r="B22" s="502" t="s">
        <v>121</v>
      </c>
      <c r="C22" s="503"/>
      <c r="D22" s="503"/>
      <c r="E22" s="150"/>
      <c r="F22" s="485" t="s">
        <v>150</v>
      </c>
      <c r="G22" s="504"/>
      <c r="H22" s="150"/>
      <c r="I22" s="150"/>
      <c r="J22" s="485" t="s">
        <v>142</v>
      </c>
      <c r="K22" s="150"/>
      <c r="L22" s="92"/>
      <c r="M22" s="486"/>
    </row>
    <row r="23" spans="1:13" ht="12.75" customHeight="1">
      <c r="A23" s="486"/>
      <c r="B23" s="502" t="s">
        <v>387</v>
      </c>
      <c r="C23" s="503"/>
      <c r="D23" s="503"/>
      <c r="E23" s="150"/>
      <c r="F23" s="485" t="s">
        <v>141</v>
      </c>
      <c r="G23" s="504"/>
      <c r="H23" s="150"/>
      <c r="I23" s="150"/>
      <c r="J23" s="485" t="s">
        <v>143</v>
      </c>
      <c r="K23" s="150"/>
      <c r="L23" s="92"/>
      <c r="M23" s="486"/>
    </row>
    <row r="24" spans="1:13" ht="14.25">
      <c r="A24" s="486"/>
      <c r="B24" s="157"/>
      <c r="C24" s="503"/>
      <c r="D24" s="503"/>
      <c r="E24" s="150"/>
      <c r="F24" s="504"/>
      <c r="G24" s="504"/>
      <c r="H24" s="150"/>
      <c r="I24" s="150"/>
      <c r="J24" s="150"/>
      <c r="K24" s="150"/>
      <c r="L24" s="92"/>
      <c r="M24" s="486"/>
    </row>
    <row r="25" spans="1:13" ht="14.25">
      <c r="A25" s="486"/>
      <c r="B25" s="505"/>
      <c r="C25" s="503"/>
      <c r="D25" s="503"/>
      <c r="E25" s="158"/>
      <c r="F25" s="158"/>
      <c r="G25" s="158"/>
      <c r="H25" s="158"/>
      <c r="I25" s="158"/>
      <c r="J25" s="158"/>
      <c r="K25" s="158"/>
      <c r="L25" s="159"/>
      <c r="M25" s="486"/>
    </row>
    <row r="26" spans="1:13" ht="14.25">
      <c r="A26" s="486"/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92"/>
      <c r="M26" s="486"/>
    </row>
    <row r="27" spans="1:13" ht="14.25">
      <c r="A27" s="486"/>
      <c r="B27" s="155"/>
      <c r="C27" s="150"/>
      <c r="D27" s="150"/>
      <c r="E27" s="150"/>
      <c r="F27" s="150"/>
      <c r="G27" s="150"/>
      <c r="H27" s="150"/>
      <c r="I27" s="150"/>
      <c r="J27" s="150"/>
      <c r="K27" s="150"/>
      <c r="L27" s="92"/>
      <c r="M27" s="486"/>
    </row>
    <row r="28" spans="1:13" ht="14.25">
      <c r="A28" s="486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92"/>
      <c r="M28" s="486"/>
    </row>
    <row r="29" spans="1:13" ht="14.25">
      <c r="A29" s="486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92"/>
      <c r="M29" s="486"/>
    </row>
    <row r="30" spans="1:13" ht="14.25">
      <c r="A30" s="486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92"/>
      <c r="M30" s="486"/>
    </row>
    <row r="31" spans="1:13" ht="14.25">
      <c r="A31" s="486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92"/>
      <c r="M31" s="486"/>
    </row>
    <row r="32" spans="1:13" ht="14.25">
      <c r="A32" s="486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92"/>
      <c r="M32" s="486"/>
    </row>
    <row r="33" spans="1:13" ht="14.25">
      <c r="A33" s="486"/>
      <c r="B33" s="155"/>
      <c r="C33" s="150"/>
      <c r="D33" s="150"/>
      <c r="E33" s="150"/>
      <c r="F33" s="150"/>
      <c r="G33" s="150"/>
      <c r="H33" s="150"/>
      <c r="I33" s="150"/>
      <c r="J33" s="150"/>
      <c r="K33" s="150"/>
      <c r="L33" s="92"/>
      <c r="M33" s="486"/>
    </row>
    <row r="34" spans="1:13" ht="14.25">
      <c r="A34" s="486"/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92"/>
      <c r="M34" s="486"/>
    </row>
    <row r="35" spans="1:13" ht="14.25">
      <c r="A35" s="486"/>
      <c r="B35" s="506"/>
      <c r="C35" s="128"/>
      <c r="D35" s="128"/>
      <c r="E35" s="128"/>
      <c r="F35" s="128"/>
      <c r="G35" s="128"/>
      <c r="H35" s="128"/>
      <c r="I35" s="128"/>
      <c r="J35" s="128"/>
      <c r="K35" s="128"/>
      <c r="L35" s="507"/>
      <c r="M35" s="486"/>
    </row>
    <row r="36" spans="1:13" ht="15" customHeight="1">
      <c r="A36" s="486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6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4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4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6">
    <mergeCell ref="B2:L2"/>
    <mergeCell ref="B3:L3"/>
    <mergeCell ref="C5:E5"/>
    <mergeCell ref="F5:H5"/>
    <mergeCell ref="I5:J5"/>
    <mergeCell ref="K5:L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10.7109375" style="2" customWidth="1"/>
    <col min="4" max="4" width="11.28125" style="2" bestFit="1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8.25" customHeight="1">
      <c r="A2" s="486"/>
      <c r="B2" s="955"/>
      <c r="C2" s="956"/>
      <c r="D2" s="956"/>
      <c r="E2" s="956"/>
      <c r="F2" s="956"/>
      <c r="G2" s="956"/>
      <c r="H2" s="956"/>
      <c r="I2" s="956"/>
      <c r="J2" s="956"/>
      <c r="K2" s="956"/>
      <c r="L2" s="957"/>
      <c r="M2" s="486"/>
    </row>
    <row r="3" spans="1:13" ht="20.25" customHeight="1">
      <c r="A3" s="486"/>
      <c r="B3" s="958" t="s">
        <v>402</v>
      </c>
      <c r="C3" s="959"/>
      <c r="D3" s="959"/>
      <c r="E3" s="959"/>
      <c r="F3" s="959"/>
      <c r="G3" s="959"/>
      <c r="H3" s="959"/>
      <c r="I3" s="959"/>
      <c r="J3" s="959"/>
      <c r="K3" s="959"/>
      <c r="L3" s="960"/>
      <c r="M3" s="486"/>
    </row>
    <row r="4" spans="1:13" ht="13.5" customHeight="1">
      <c r="A4" s="486"/>
      <c r="B4" s="489"/>
      <c r="C4" s="490"/>
      <c r="D4" s="490"/>
      <c r="E4" s="491"/>
      <c r="F4" s="491"/>
      <c r="G4" s="491"/>
      <c r="H4" s="491"/>
      <c r="I4" s="491"/>
      <c r="J4" s="491"/>
      <c r="K4" s="491"/>
      <c r="L4" s="492"/>
      <c r="M4" s="486"/>
    </row>
    <row r="5" spans="1:13" ht="12.75" customHeight="1">
      <c r="A5" s="486"/>
      <c r="B5" s="493" t="s">
        <v>123</v>
      </c>
      <c r="C5" s="961">
        <v>2015</v>
      </c>
      <c r="D5" s="962"/>
      <c r="E5" s="963"/>
      <c r="F5" s="961">
        <v>2014</v>
      </c>
      <c r="G5" s="962"/>
      <c r="H5" s="963"/>
      <c r="I5" s="961" t="s">
        <v>124</v>
      </c>
      <c r="J5" s="963"/>
      <c r="K5" s="961" t="s">
        <v>125</v>
      </c>
      <c r="L5" s="963"/>
      <c r="M5" s="486"/>
    </row>
    <row r="6" spans="1:13" ht="12.75" customHeight="1">
      <c r="A6" s="486"/>
      <c r="B6" s="494"/>
      <c r="C6" s="470" t="s">
        <v>126</v>
      </c>
      <c r="D6" s="471" t="s">
        <v>127</v>
      </c>
      <c r="E6" s="472" t="s">
        <v>13</v>
      </c>
      <c r="F6" s="470" t="s">
        <v>126</v>
      </c>
      <c r="G6" s="471" t="s">
        <v>127</v>
      </c>
      <c r="H6" s="472" t="s">
        <v>13</v>
      </c>
      <c r="I6" s="473" t="s">
        <v>126</v>
      </c>
      <c r="J6" s="474" t="s">
        <v>127</v>
      </c>
      <c r="K6" s="470" t="s">
        <v>126</v>
      </c>
      <c r="L6" s="495" t="s">
        <v>127</v>
      </c>
      <c r="M6" s="486"/>
    </row>
    <row r="7" spans="1:13" ht="12.75" customHeight="1">
      <c r="A7" s="486"/>
      <c r="B7" s="91" t="s">
        <v>128</v>
      </c>
      <c r="C7" s="475">
        <v>302</v>
      </c>
      <c r="D7" s="475">
        <v>912.3333333333334</v>
      </c>
      <c r="E7" s="481">
        <f aca="true" t="shared" si="0" ref="E7:E16">(C7*1000)/D7</f>
        <v>331.0193642674461</v>
      </c>
      <c r="F7" s="475">
        <v>783</v>
      </c>
      <c r="G7" s="475">
        <v>1646.1666666666667</v>
      </c>
      <c r="H7" s="481">
        <f aca="true" t="shared" si="1" ref="H7:H19">(F7*1000)/G7</f>
        <v>475.65050116432116</v>
      </c>
      <c r="I7" s="475">
        <f>C7+SUM(F18:F19)+SUM(F14:F16)</f>
        <v>5252</v>
      </c>
      <c r="J7" s="475">
        <f>D7+SUM(G18:G19)+SUM(G14:G16)</f>
        <v>15164</v>
      </c>
      <c r="K7" s="475">
        <f>SUM(B7)+SUM(F18:F19)+SUM(F8:F16)</f>
        <v>10820</v>
      </c>
      <c r="L7" s="509">
        <f>SUM(C7)+SUM(G18:G19)+SUM(G8:G16)</f>
        <v>30102.833333333332</v>
      </c>
      <c r="M7" s="486"/>
    </row>
    <row r="8" spans="1:13" ht="12.75" customHeight="1">
      <c r="A8" s="486"/>
      <c r="B8" s="104" t="s">
        <v>129</v>
      </c>
      <c r="C8" s="475">
        <v>912</v>
      </c>
      <c r="D8" s="475">
        <v>2816.3333333333335</v>
      </c>
      <c r="E8" s="508">
        <f t="shared" si="0"/>
        <v>323.82530476979525</v>
      </c>
      <c r="F8" s="475">
        <v>1023</v>
      </c>
      <c r="G8" s="475">
        <v>2340.3333333333335</v>
      </c>
      <c r="H8" s="508">
        <f t="shared" si="1"/>
        <v>437.1172197692636</v>
      </c>
      <c r="I8" s="475">
        <f>SUM(C7:C8)+SUM(F18:F19)+SUM(F15+F16)</f>
        <v>5186</v>
      </c>
      <c r="J8" s="475">
        <f>SUM(D7:D8)+SUM(G18:G19)+SUM(G15+G16)</f>
        <v>15243.333333333334</v>
      </c>
      <c r="K8" s="475">
        <f>SUM(B7:B8)+SUM(F18:F19)+SUM(F9:F16)</f>
        <v>9797</v>
      </c>
      <c r="L8" s="497">
        <f>SUM(C7:C8)+SUM(G18:G19)+SUM(G9:G16)</f>
        <v>28674.500000000004</v>
      </c>
      <c r="M8" s="486"/>
    </row>
    <row r="9" spans="1:13" ht="12.75" customHeight="1">
      <c r="A9" s="486"/>
      <c r="B9" s="104" t="s">
        <v>130</v>
      </c>
      <c r="C9" s="475">
        <v>1146</v>
      </c>
      <c r="D9" s="475">
        <v>3946.8333333333335</v>
      </c>
      <c r="E9" s="508">
        <f t="shared" si="0"/>
        <v>290.3593598243317</v>
      </c>
      <c r="F9" s="475">
        <v>877</v>
      </c>
      <c r="G9" s="475">
        <v>2221.3333333333335</v>
      </c>
      <c r="H9" s="508">
        <f t="shared" si="1"/>
        <v>394.80792316926767</v>
      </c>
      <c r="I9" s="475">
        <f>SUM(C7:C9)+SUM(F18:F19)+F16</f>
        <v>5027</v>
      </c>
      <c r="J9" s="475">
        <f>SUM(D7:D9)+SUM(G18:G19)+G16</f>
        <v>15736.166666666668</v>
      </c>
      <c r="K9" s="475">
        <f>SUM(C7:C9)+SUM(F18:F19)+SUM(F10:F16)</f>
        <v>11280</v>
      </c>
      <c r="L9" s="497">
        <f>SUM(D7:D9)+SUM(G18:G19)+SUM(G10:G16)</f>
        <v>32914.66666666667</v>
      </c>
      <c r="M9" s="486"/>
    </row>
    <row r="10" spans="1:13" ht="12.75" customHeight="1">
      <c r="A10" s="486"/>
      <c r="B10" s="104" t="s">
        <v>131</v>
      </c>
      <c r="C10" s="475">
        <v>607</v>
      </c>
      <c r="D10" s="475">
        <v>1804.8333333333333</v>
      </c>
      <c r="E10" s="508">
        <f t="shared" si="0"/>
        <v>336.31914304183215</v>
      </c>
      <c r="F10" s="475">
        <v>909</v>
      </c>
      <c r="G10" s="475">
        <v>2598.1666666666665</v>
      </c>
      <c r="H10" s="508">
        <f t="shared" si="1"/>
        <v>349.86208223747514</v>
      </c>
      <c r="I10" s="475">
        <f>SUM(C7:C10)+SUM(F18:F19)</f>
        <v>4010</v>
      </c>
      <c r="J10" s="475">
        <f>SUM(D7:D10)+SUM(G18:G19)</f>
        <v>12733</v>
      </c>
      <c r="K10" s="475">
        <f>SUM(C7:C10)+SUM(F18:F19)+SUM(F11:F16)</f>
        <v>10978</v>
      </c>
      <c r="L10" s="497">
        <f>SUM(D7:D10)+SUM(G18:G19)+SUM(G11:G16)</f>
        <v>32121.333333333332</v>
      </c>
      <c r="M10" s="486"/>
    </row>
    <row r="11" spans="1:13" ht="12.75" customHeight="1">
      <c r="A11" s="486"/>
      <c r="B11" s="104" t="s">
        <v>132</v>
      </c>
      <c r="C11" s="475">
        <v>795</v>
      </c>
      <c r="D11" s="475">
        <v>2419.6666666666665</v>
      </c>
      <c r="E11" s="508">
        <f t="shared" si="0"/>
        <v>328.55765256922444</v>
      </c>
      <c r="F11" s="475">
        <v>589</v>
      </c>
      <c r="G11" s="475">
        <v>1765.1666666666667</v>
      </c>
      <c r="H11" s="508">
        <f t="shared" si="1"/>
        <v>333.6795392314229</v>
      </c>
      <c r="I11" s="475">
        <f>SUM(C7:C11)+F19</f>
        <v>4146</v>
      </c>
      <c r="J11" s="475">
        <f>SUM(D7:D11)+G19</f>
        <v>13129.666666666666</v>
      </c>
      <c r="K11" s="475">
        <f>SUM(C7:C11)+SUM(F18:F19)+SUM(F12:F16)</f>
        <v>11184</v>
      </c>
      <c r="L11" s="497">
        <f>SUM(D7:D11)+SUM(G18:G19)+SUM(G12:G16)</f>
        <v>32775.83333333333</v>
      </c>
      <c r="M11" s="486"/>
    </row>
    <row r="12" spans="1:13" ht="12.75" customHeight="1">
      <c r="A12" s="486"/>
      <c r="B12" s="104" t="s">
        <v>133</v>
      </c>
      <c r="C12" s="475">
        <v>1280</v>
      </c>
      <c r="D12" s="475">
        <v>4184.833333333333</v>
      </c>
      <c r="E12" s="508">
        <f t="shared" si="0"/>
        <v>305.8664223983432</v>
      </c>
      <c r="F12" s="475">
        <v>1483</v>
      </c>
      <c r="G12" s="475">
        <v>3907.1666666666665</v>
      </c>
      <c r="H12" s="508">
        <f t="shared" si="1"/>
        <v>379.5589301710532</v>
      </c>
      <c r="I12" s="475">
        <f aca="true" t="shared" si="2" ref="I12:J16">SUM(C7:C12)</f>
        <v>5042</v>
      </c>
      <c r="J12" s="475">
        <f t="shared" si="2"/>
        <v>16084.833333333332</v>
      </c>
      <c r="K12" s="475">
        <f>SUM(C7:C12)+SUM(F18:F19)+SUM(F13:F16)</f>
        <v>10981</v>
      </c>
      <c r="L12" s="497">
        <f>SUM(D7:D12)+SUM(G18:G19)+SUM(G13:G16)</f>
        <v>33053.5</v>
      </c>
      <c r="M12" s="486"/>
    </row>
    <row r="13" spans="1:13" ht="12.75" customHeight="1">
      <c r="A13" s="486"/>
      <c r="B13" s="104" t="s">
        <v>135</v>
      </c>
      <c r="C13" s="515">
        <v>1103</v>
      </c>
      <c r="D13" s="512">
        <v>3709</v>
      </c>
      <c r="E13" s="516">
        <f t="shared" si="0"/>
        <v>297.3847398220545</v>
      </c>
      <c r="F13" s="515">
        <v>989</v>
      </c>
      <c r="G13" s="515">
        <v>2717</v>
      </c>
      <c r="H13" s="516">
        <f t="shared" si="1"/>
        <v>364.0044166359956</v>
      </c>
      <c r="I13" s="475">
        <f t="shared" si="2"/>
        <v>5843</v>
      </c>
      <c r="J13" s="475">
        <f t="shared" si="2"/>
        <v>18881.5</v>
      </c>
      <c r="K13" s="475">
        <f>SUM(C7:C13)+SUM(F18:F19)+SUM(F14:F16)</f>
        <v>11095</v>
      </c>
      <c r="L13" s="497">
        <f>SUM(D7:D13)+SUM(G18:G19)+SUM(G14:G16)</f>
        <v>34045.5</v>
      </c>
      <c r="M13" s="486"/>
    </row>
    <row r="14" spans="1:13" ht="12.75" customHeight="1">
      <c r="A14" s="486"/>
      <c r="B14" s="104" t="s">
        <v>136</v>
      </c>
      <c r="C14" s="475">
        <v>804.887</v>
      </c>
      <c r="D14" s="475">
        <v>2307.648</v>
      </c>
      <c r="E14" s="508">
        <f t="shared" si="0"/>
        <v>348.791063455085</v>
      </c>
      <c r="F14" s="475">
        <v>978</v>
      </c>
      <c r="G14" s="475">
        <v>2737</v>
      </c>
      <c r="H14" s="508">
        <f>(F14*1000)/G14</f>
        <v>357.32553891121665</v>
      </c>
      <c r="I14" s="475">
        <f t="shared" si="2"/>
        <v>5735.887</v>
      </c>
      <c r="J14" s="475">
        <f t="shared" si="2"/>
        <v>18372.81466666667</v>
      </c>
      <c r="K14" s="475">
        <f>SUM(C7:C14)+SUM(F18:F19)+SUM(F15+F16)</f>
        <v>10921.886999999999</v>
      </c>
      <c r="L14" s="497">
        <f>SUM(D7:D14)+SUM(G18:G19)+SUM(G15+G16)</f>
        <v>33616.148</v>
      </c>
      <c r="M14" s="486"/>
    </row>
    <row r="15" spans="1:13" ht="12.75" customHeight="1">
      <c r="A15" s="486"/>
      <c r="B15" s="104" t="s">
        <v>137</v>
      </c>
      <c r="C15" s="475">
        <v>815.2</v>
      </c>
      <c r="D15" s="475">
        <v>2909</v>
      </c>
      <c r="E15" s="508">
        <f t="shared" si="0"/>
        <v>280.2337573049158</v>
      </c>
      <c r="F15" s="475">
        <v>1305</v>
      </c>
      <c r="G15" s="475">
        <v>3454</v>
      </c>
      <c r="H15" s="508">
        <f>(F15*1000)/G15</f>
        <v>377.8228141285466</v>
      </c>
      <c r="I15" s="475">
        <f t="shared" si="2"/>
        <v>5405.0869999999995</v>
      </c>
      <c r="J15" s="475">
        <f t="shared" si="2"/>
        <v>17334.981333333333</v>
      </c>
      <c r="K15" s="475">
        <f>SUM(C7:C15)+SUM(F18:F19)+F16</f>
        <v>10432.087</v>
      </c>
      <c r="L15" s="497">
        <f>SUM(D7:D15)+SUM(G18:G19)+G16</f>
        <v>33071.148</v>
      </c>
      <c r="M15" s="486"/>
    </row>
    <row r="16" spans="1:13" ht="12.75" customHeight="1">
      <c r="A16" s="486"/>
      <c r="B16" s="104" t="s">
        <v>138</v>
      </c>
      <c r="C16" s="475">
        <v>1003.873</v>
      </c>
      <c r="D16" s="475">
        <v>4042.26</v>
      </c>
      <c r="E16" s="508">
        <f t="shared" si="0"/>
        <v>248.34449045830797</v>
      </c>
      <c r="F16" s="475">
        <v>1624</v>
      </c>
      <c r="G16" s="475">
        <v>4808</v>
      </c>
      <c r="H16" s="753">
        <f>(F16*1000)/G16</f>
        <v>337.77038269550746</v>
      </c>
      <c r="I16" s="482">
        <f t="shared" si="2"/>
        <v>5801.959999999999</v>
      </c>
      <c r="J16" s="476">
        <f t="shared" si="2"/>
        <v>19572.408000000003</v>
      </c>
      <c r="K16" s="476">
        <f>SUM(C7:C16)+SUM(F18:F19)</f>
        <v>9811.96</v>
      </c>
      <c r="L16" s="498">
        <f>SUM(D7:D16)+SUM(G18:G19)</f>
        <v>32305.408</v>
      </c>
      <c r="M16" s="487"/>
    </row>
    <row r="17" spans="1:13" ht="12.75" customHeight="1">
      <c r="A17" s="486"/>
      <c r="B17" s="499" t="s">
        <v>134</v>
      </c>
      <c r="C17" s="477">
        <f>SUM(C7:C16)</f>
        <v>8768.96</v>
      </c>
      <c r="D17" s="478">
        <f>SUM(D7:D16)</f>
        <v>29052.74133333333</v>
      </c>
      <c r="E17" s="484">
        <f>(C17*1000)/D17</f>
        <v>301.82900468462964</v>
      </c>
      <c r="F17" s="478">
        <f>SUM(F7:F16)</f>
        <v>10560</v>
      </c>
      <c r="G17" s="478">
        <f>SUM(G7:G16)</f>
        <v>28194.333333333332</v>
      </c>
      <c r="H17" s="484">
        <f>(F17*1000)/G17</f>
        <v>374.5433479540806</v>
      </c>
      <c r="I17" s="328"/>
      <c r="J17" s="328"/>
      <c r="K17" s="328"/>
      <c r="L17" s="500"/>
      <c r="M17" s="486"/>
    </row>
    <row r="18" spans="1:13" ht="12.75" customHeight="1">
      <c r="A18" s="486"/>
      <c r="B18" s="104" t="s">
        <v>139</v>
      </c>
      <c r="C18" s="475"/>
      <c r="D18" s="475"/>
      <c r="E18" s="508"/>
      <c r="F18" s="475">
        <v>659</v>
      </c>
      <c r="G18" s="475">
        <v>2023</v>
      </c>
      <c r="H18" s="508">
        <f t="shared" si="1"/>
        <v>325.75383094414235</v>
      </c>
      <c r="I18" s="475"/>
      <c r="J18" s="475"/>
      <c r="K18" s="475"/>
      <c r="L18" s="497"/>
      <c r="M18" s="486"/>
    </row>
    <row r="19" spans="1:13" ht="12.75" customHeight="1">
      <c r="A19" s="486"/>
      <c r="B19" s="104" t="s">
        <v>140</v>
      </c>
      <c r="C19" s="475"/>
      <c r="D19" s="475"/>
      <c r="E19" s="508"/>
      <c r="F19" s="475">
        <v>384</v>
      </c>
      <c r="G19" s="475">
        <v>1229.6666666666667</v>
      </c>
      <c r="H19" s="483">
        <f t="shared" si="1"/>
        <v>312.2797506099214</v>
      </c>
      <c r="I19" s="475"/>
      <c r="J19" s="475"/>
      <c r="K19" s="475"/>
      <c r="L19" s="497"/>
      <c r="M19" s="486"/>
    </row>
    <row r="20" spans="1:13" ht="12.75" customHeight="1">
      <c r="A20" s="486"/>
      <c r="B20" s="499" t="s">
        <v>134</v>
      </c>
      <c r="C20" s="477"/>
      <c r="D20" s="478"/>
      <c r="E20" s="514"/>
      <c r="F20" s="480">
        <f>SUM(F18:F19)</f>
        <v>1043</v>
      </c>
      <c r="G20" s="480">
        <f>SUM(G18:G19)</f>
        <v>3252.666666666667</v>
      </c>
      <c r="H20" s="481">
        <f>(F20*1000)/G20</f>
        <v>320.6599713055954</v>
      </c>
      <c r="I20" s="328"/>
      <c r="J20" s="328"/>
      <c r="K20" s="328"/>
      <c r="L20" s="500"/>
      <c r="M20" s="486"/>
    </row>
    <row r="21" spans="1:13" ht="12.75" customHeight="1">
      <c r="A21" s="486"/>
      <c r="B21" s="499" t="s">
        <v>120</v>
      </c>
      <c r="C21" s="482">
        <f>SUM(C17+C20)</f>
        <v>8768.96</v>
      </c>
      <c r="D21" s="482">
        <f>SUM(D17+D20)</f>
        <v>29052.74133333333</v>
      </c>
      <c r="E21" s="483">
        <f>(C21*1000)/D21</f>
        <v>301.82900468462964</v>
      </c>
      <c r="F21" s="478">
        <f>SUM(F17+F20)</f>
        <v>11603</v>
      </c>
      <c r="G21" s="478">
        <f>SUM(G17+G20)</f>
        <v>31447</v>
      </c>
      <c r="H21" s="484">
        <f>(F21*1000)/G21</f>
        <v>368.9700130378096</v>
      </c>
      <c r="I21" s="346"/>
      <c r="J21" s="346"/>
      <c r="K21" s="346"/>
      <c r="L21" s="501"/>
      <c r="M21" s="486"/>
    </row>
    <row r="22" spans="1:13" ht="12.75" customHeight="1">
      <c r="A22" s="486"/>
      <c r="B22" s="502" t="s">
        <v>121</v>
      </c>
      <c r="C22" s="503"/>
      <c r="D22" s="503"/>
      <c r="E22" s="485" t="s">
        <v>151</v>
      </c>
      <c r="F22" s="750"/>
      <c r="G22" s="504"/>
      <c r="H22" s="150"/>
      <c r="I22" s="150"/>
      <c r="J22" s="485" t="s">
        <v>142</v>
      </c>
      <c r="K22" s="150"/>
      <c r="L22" s="92"/>
      <c r="M22" s="486"/>
    </row>
    <row r="23" spans="1:13" ht="12.75" customHeight="1">
      <c r="A23" s="486"/>
      <c r="B23" s="502" t="s">
        <v>387</v>
      </c>
      <c r="C23" s="503"/>
      <c r="D23" s="503"/>
      <c r="E23" s="485" t="s">
        <v>141</v>
      </c>
      <c r="F23" s="750"/>
      <c r="G23" s="504"/>
      <c r="H23" s="150"/>
      <c r="I23" s="150"/>
      <c r="J23" s="485" t="s">
        <v>143</v>
      </c>
      <c r="K23" s="150"/>
      <c r="L23" s="92"/>
      <c r="M23" s="486"/>
    </row>
    <row r="24" spans="1:13" ht="14.25">
      <c r="A24" s="486"/>
      <c r="B24" s="157"/>
      <c r="C24" s="503"/>
      <c r="D24" s="503"/>
      <c r="E24" s="150"/>
      <c r="F24" s="504"/>
      <c r="G24" s="504"/>
      <c r="H24" s="150"/>
      <c r="I24" s="150"/>
      <c r="J24" s="150"/>
      <c r="K24" s="150"/>
      <c r="L24" s="92"/>
      <c r="M24" s="486"/>
    </row>
    <row r="25" spans="1:13" ht="14.25">
      <c r="A25" s="486"/>
      <c r="B25" s="505"/>
      <c r="C25" s="503"/>
      <c r="D25" s="503"/>
      <c r="E25" s="158"/>
      <c r="F25" s="158"/>
      <c r="G25" s="158"/>
      <c r="H25" s="158"/>
      <c r="I25" s="158"/>
      <c r="J25" s="158"/>
      <c r="K25" s="158"/>
      <c r="L25" s="159"/>
      <c r="M25" s="486"/>
    </row>
    <row r="26" spans="1:13" ht="14.25">
      <c r="A26" s="486"/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92"/>
      <c r="M26" s="486"/>
    </row>
    <row r="27" spans="1:13" ht="14.25">
      <c r="A27" s="486"/>
      <c r="B27" s="155"/>
      <c r="C27" s="150"/>
      <c r="D27" s="150"/>
      <c r="E27" s="150"/>
      <c r="F27" s="150"/>
      <c r="G27" s="150"/>
      <c r="H27" s="150"/>
      <c r="I27" s="150"/>
      <c r="J27" s="150"/>
      <c r="K27" s="150"/>
      <c r="L27" s="92"/>
      <c r="M27" s="486"/>
    </row>
    <row r="28" spans="1:13" ht="14.25">
      <c r="A28" s="486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92"/>
      <c r="M28" s="486"/>
    </row>
    <row r="29" spans="1:13" ht="14.25">
      <c r="A29" s="486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92"/>
      <c r="M29" s="486"/>
    </row>
    <row r="30" spans="1:13" ht="14.25">
      <c r="A30" s="486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92"/>
      <c r="M30" s="486"/>
    </row>
    <row r="31" spans="1:13" ht="14.25">
      <c r="A31" s="486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92"/>
      <c r="M31" s="486"/>
    </row>
    <row r="32" spans="1:13" ht="14.25">
      <c r="A32" s="486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92"/>
      <c r="M32" s="486"/>
    </row>
    <row r="33" spans="1:13" ht="14.25">
      <c r="A33" s="486"/>
      <c r="B33" s="155"/>
      <c r="C33" s="150"/>
      <c r="D33" s="150"/>
      <c r="E33" s="150"/>
      <c r="F33" s="150"/>
      <c r="G33" s="150"/>
      <c r="H33" s="150"/>
      <c r="I33" s="150"/>
      <c r="J33" s="150"/>
      <c r="K33" s="150"/>
      <c r="L33" s="92"/>
      <c r="M33" s="486"/>
    </row>
    <row r="34" spans="1:13" ht="14.25">
      <c r="A34" s="486"/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92"/>
      <c r="M34" s="486"/>
    </row>
    <row r="35" spans="1:13" ht="14.25">
      <c r="A35" s="486"/>
      <c r="B35" s="506"/>
      <c r="C35" s="128"/>
      <c r="D35" s="128"/>
      <c r="E35" s="128"/>
      <c r="F35" s="128"/>
      <c r="G35" s="128"/>
      <c r="H35" s="128"/>
      <c r="I35" s="128"/>
      <c r="J35" s="128"/>
      <c r="K35" s="128"/>
      <c r="L35" s="507"/>
      <c r="M35" s="486"/>
    </row>
    <row r="36" spans="1:13" ht="15" customHeight="1">
      <c r="A36" s="486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6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4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4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6"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P22" sqref="P22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10.7109375" style="2" customWidth="1"/>
    <col min="4" max="4" width="11.28125" style="2" bestFit="1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8.25" customHeight="1">
      <c r="A2" s="486"/>
      <c r="B2" s="955"/>
      <c r="C2" s="956"/>
      <c r="D2" s="956"/>
      <c r="E2" s="956"/>
      <c r="F2" s="956"/>
      <c r="G2" s="956"/>
      <c r="H2" s="956"/>
      <c r="I2" s="956"/>
      <c r="J2" s="956"/>
      <c r="K2" s="956"/>
      <c r="L2" s="957"/>
      <c r="M2" s="486"/>
    </row>
    <row r="3" spans="1:13" ht="20.25" customHeight="1">
      <c r="A3" s="486"/>
      <c r="B3" s="958" t="s">
        <v>403</v>
      </c>
      <c r="C3" s="959"/>
      <c r="D3" s="959"/>
      <c r="E3" s="959"/>
      <c r="F3" s="959"/>
      <c r="G3" s="959"/>
      <c r="H3" s="959"/>
      <c r="I3" s="959"/>
      <c r="J3" s="959"/>
      <c r="K3" s="959"/>
      <c r="L3" s="960"/>
      <c r="M3" s="486"/>
    </row>
    <row r="4" spans="1:13" ht="13.5" customHeight="1">
      <c r="A4" s="486"/>
      <c r="B4" s="489"/>
      <c r="C4" s="490"/>
      <c r="D4" s="490"/>
      <c r="E4" s="491"/>
      <c r="F4" s="491"/>
      <c r="G4" s="491"/>
      <c r="H4" s="491"/>
      <c r="I4" s="491"/>
      <c r="J4" s="491"/>
      <c r="K4" s="491"/>
      <c r="L4" s="492"/>
      <c r="M4" s="486"/>
    </row>
    <row r="5" spans="1:13" ht="12.75" customHeight="1">
      <c r="A5" s="486"/>
      <c r="B5" s="493" t="s">
        <v>123</v>
      </c>
      <c r="C5" s="961">
        <v>2015</v>
      </c>
      <c r="D5" s="962"/>
      <c r="E5" s="963"/>
      <c r="F5" s="961">
        <v>2014</v>
      </c>
      <c r="G5" s="962"/>
      <c r="H5" s="963"/>
      <c r="I5" s="961" t="s">
        <v>124</v>
      </c>
      <c r="J5" s="963"/>
      <c r="K5" s="961" t="s">
        <v>125</v>
      </c>
      <c r="L5" s="963"/>
      <c r="M5" s="486"/>
    </row>
    <row r="6" spans="1:13" ht="12.75" customHeight="1">
      <c r="A6" s="486"/>
      <c r="B6" s="494"/>
      <c r="C6" s="470" t="s">
        <v>126</v>
      </c>
      <c r="D6" s="471" t="s">
        <v>127</v>
      </c>
      <c r="E6" s="472" t="s">
        <v>13</v>
      </c>
      <c r="F6" s="470" t="s">
        <v>126</v>
      </c>
      <c r="G6" s="471" t="s">
        <v>127</v>
      </c>
      <c r="H6" s="472" t="s">
        <v>13</v>
      </c>
      <c r="I6" s="473" t="s">
        <v>126</v>
      </c>
      <c r="J6" s="474" t="s">
        <v>127</v>
      </c>
      <c r="K6" s="470" t="s">
        <v>126</v>
      </c>
      <c r="L6" s="495" t="s">
        <v>127</v>
      </c>
      <c r="M6" s="486"/>
    </row>
    <row r="7" spans="1:13" ht="12.75" customHeight="1">
      <c r="A7" s="486"/>
      <c r="B7" s="91" t="s">
        <v>128</v>
      </c>
      <c r="C7" s="475">
        <v>2615</v>
      </c>
      <c r="D7" s="475">
        <v>25696.666666666668</v>
      </c>
      <c r="E7" s="481">
        <f aca="true" t="shared" si="0" ref="E7:E12">(C7*1000)/D7</f>
        <v>101.76417174730834</v>
      </c>
      <c r="F7" s="475">
        <v>3194</v>
      </c>
      <c r="G7" s="475">
        <v>24266.666666666668</v>
      </c>
      <c r="H7" s="481">
        <f aca="true" t="shared" si="1" ref="H7:H19">(F7*1000)/G7</f>
        <v>131.62087912087912</v>
      </c>
      <c r="I7" s="475">
        <f>C7+SUM(F18:F19)+SUM(F14:F16)</f>
        <v>18152</v>
      </c>
      <c r="J7" s="475">
        <f>D7+SUM(G18:G19)+SUM(G14:G16)</f>
        <v>141726.6666666667</v>
      </c>
      <c r="K7" s="475">
        <f>SUM(B7)+SUM(F18:F19)+SUM(F8:F16)</f>
        <v>42636</v>
      </c>
      <c r="L7" s="509">
        <f>SUM(C7)+SUM(G18:G19)+SUM(G8:G16)</f>
        <v>328204.99999999994</v>
      </c>
      <c r="M7" s="486"/>
    </row>
    <row r="8" spans="1:13" ht="12.75" customHeight="1">
      <c r="A8" s="486"/>
      <c r="B8" s="104" t="s">
        <v>129</v>
      </c>
      <c r="C8" s="475">
        <v>3503</v>
      </c>
      <c r="D8" s="475">
        <v>24613.333333333332</v>
      </c>
      <c r="E8" s="508">
        <f t="shared" si="0"/>
        <v>142.32123510292524</v>
      </c>
      <c r="F8" s="475">
        <v>4360</v>
      </c>
      <c r="G8" s="475">
        <v>33626.666666666664</v>
      </c>
      <c r="H8" s="508">
        <f t="shared" si="1"/>
        <v>129.65900079302142</v>
      </c>
      <c r="I8" s="475">
        <f>SUM(C7:C8)+SUM(F18:F19)+SUM(F15+F16)</f>
        <v>18240</v>
      </c>
      <c r="J8" s="475">
        <f>SUM(D7:D8)+SUM(G18:G19)+SUM(G15+G16)</f>
        <v>141033.3333333333</v>
      </c>
      <c r="K8" s="475">
        <f>SUM(B7:B8)+SUM(F18:F19)+SUM(F9:F16)</f>
        <v>38276</v>
      </c>
      <c r="L8" s="497">
        <f>SUM(C7:C8)+SUM(G18:G19)+SUM(G9:G16)</f>
        <v>298081.3333333333</v>
      </c>
      <c r="M8" s="486"/>
    </row>
    <row r="9" spans="1:13" ht="12.75" customHeight="1">
      <c r="A9" s="486"/>
      <c r="B9" s="104" t="s">
        <v>130</v>
      </c>
      <c r="C9" s="475">
        <v>3664</v>
      </c>
      <c r="D9" s="475">
        <v>21926.666666666668</v>
      </c>
      <c r="E9" s="508">
        <f t="shared" si="0"/>
        <v>167.10246275463666</v>
      </c>
      <c r="F9" s="475">
        <v>3905</v>
      </c>
      <c r="G9" s="475">
        <v>25480</v>
      </c>
      <c r="H9" s="508">
        <f t="shared" si="1"/>
        <v>153.2574568288854</v>
      </c>
      <c r="I9" s="475">
        <f>SUM(C7:C9)+SUM(F18:F19)+F16</f>
        <v>17420</v>
      </c>
      <c r="J9" s="475">
        <f>SUM(D7:D9)+SUM(G18:G19)+G16</f>
        <v>132067</v>
      </c>
      <c r="K9" s="475">
        <f>SUM(C7:C9)+SUM(F18:F19)+SUM(F10:F16)</f>
        <v>44153</v>
      </c>
      <c r="L9" s="497">
        <f>SUM(D7:D9)+SUM(G18:G19)+SUM(G10:G16)</f>
        <v>338720</v>
      </c>
      <c r="M9" s="486"/>
    </row>
    <row r="10" spans="1:13" ht="12.75" customHeight="1">
      <c r="A10" s="486"/>
      <c r="B10" s="104" t="s">
        <v>131</v>
      </c>
      <c r="C10" s="475">
        <v>4108</v>
      </c>
      <c r="D10" s="475">
        <v>26433.333333333332</v>
      </c>
      <c r="E10" s="508">
        <f t="shared" si="0"/>
        <v>155.40983606557378</v>
      </c>
      <c r="F10" s="475">
        <v>3679</v>
      </c>
      <c r="G10" s="475">
        <v>28860</v>
      </c>
      <c r="H10" s="508">
        <f t="shared" si="1"/>
        <v>127.47747747747748</v>
      </c>
      <c r="I10" s="475">
        <f>SUM(C7:C10)+SUM(F18:F19)</f>
        <v>19503</v>
      </c>
      <c r="J10" s="475">
        <f>SUM(D7:D10)+SUM(G18:G19)</f>
        <v>145513.3333333333</v>
      </c>
      <c r="K10" s="475">
        <f>SUM(C7:C10)+SUM(F18:F19)+SUM(F11:F16)</f>
        <v>44582</v>
      </c>
      <c r="L10" s="497">
        <f>SUM(D7:D10)+SUM(G18:G19)+SUM(G11:G16)</f>
        <v>336293.3333333333</v>
      </c>
      <c r="M10" s="486"/>
    </row>
    <row r="11" spans="1:13" ht="12.75" customHeight="1">
      <c r="A11" s="486"/>
      <c r="B11" s="104" t="s">
        <v>132</v>
      </c>
      <c r="C11" s="475">
        <v>4077</v>
      </c>
      <c r="D11" s="475">
        <v>28123.333333333332</v>
      </c>
      <c r="E11" s="508">
        <f t="shared" si="0"/>
        <v>144.9685907313026</v>
      </c>
      <c r="F11" s="475">
        <v>4730</v>
      </c>
      <c r="G11" s="475">
        <v>36530</v>
      </c>
      <c r="H11" s="508">
        <f t="shared" si="1"/>
        <v>129.482617027101</v>
      </c>
      <c r="I11" s="475">
        <f>SUM(C7:C11)+F19</f>
        <v>21688</v>
      </c>
      <c r="J11" s="475">
        <f>SUM(D7:D11)+G19</f>
        <v>158166.66666666666</v>
      </c>
      <c r="K11" s="475">
        <f>SUM(C7:C11)+SUM(F18:F19)+SUM(F12:F16)</f>
        <v>43929</v>
      </c>
      <c r="L11" s="497">
        <f>SUM(D7:D11)+SUM(G18:G19)+SUM(G12:G16)</f>
        <v>327886.6666666666</v>
      </c>
      <c r="M11" s="486"/>
    </row>
    <row r="12" spans="1:13" ht="12.75" customHeight="1">
      <c r="A12" s="486"/>
      <c r="B12" s="104" t="s">
        <v>133</v>
      </c>
      <c r="C12" s="475">
        <v>4392</v>
      </c>
      <c r="D12" s="475">
        <v>32890</v>
      </c>
      <c r="E12" s="508">
        <f t="shared" si="0"/>
        <v>133.5360291882031</v>
      </c>
      <c r="F12" s="475">
        <v>5628</v>
      </c>
      <c r="G12" s="475">
        <v>46323.333333333336</v>
      </c>
      <c r="H12" s="508">
        <f t="shared" si="1"/>
        <v>121.49384759300568</v>
      </c>
      <c r="I12" s="475">
        <f aca="true" t="shared" si="2" ref="I12:J16">SUM(C7:C12)</f>
        <v>22359</v>
      </c>
      <c r="J12" s="475">
        <f t="shared" si="2"/>
        <v>159683.3333333333</v>
      </c>
      <c r="K12" s="475">
        <f>SUM(C7:C12)+SUM(F18:F19)+SUM(F13:F16)</f>
        <v>42693</v>
      </c>
      <c r="L12" s="497">
        <f>SUM(D7:D12)+SUM(G18:G19)+SUM(G13:G16)</f>
        <v>314453.3333333333</v>
      </c>
      <c r="M12" s="486"/>
    </row>
    <row r="13" spans="1:13" ht="12.75" customHeight="1">
      <c r="A13" s="486"/>
      <c r="B13" s="104" t="s">
        <v>135</v>
      </c>
      <c r="C13" s="475">
        <v>3418</v>
      </c>
      <c r="D13" s="475">
        <v>29510</v>
      </c>
      <c r="E13" s="508">
        <f>(C13*1000)/D13</f>
        <v>115.82514401897662</v>
      </c>
      <c r="F13" s="475">
        <v>4797</v>
      </c>
      <c r="G13" s="475">
        <v>38740</v>
      </c>
      <c r="H13" s="508">
        <f>(F13*1000)/G13</f>
        <v>123.8255033557047</v>
      </c>
      <c r="I13" s="475">
        <f t="shared" si="2"/>
        <v>23162</v>
      </c>
      <c r="J13" s="475">
        <f t="shared" si="2"/>
        <v>163496.66666666666</v>
      </c>
      <c r="K13" s="475">
        <f>SUM(C7:C13)+SUM(F18:F19)+SUM(F14:F16)</f>
        <v>41314</v>
      </c>
      <c r="L13" s="497">
        <f>SUM(D7:D13)+SUM(G18:G19)+SUM(G14:G16)</f>
        <v>305223.3333333333</v>
      </c>
      <c r="M13" s="486"/>
    </row>
    <row r="14" spans="1:13" ht="12.75" customHeight="1">
      <c r="A14" s="486"/>
      <c r="B14" s="104" t="s">
        <v>136</v>
      </c>
      <c r="C14" s="475">
        <v>2052.876</v>
      </c>
      <c r="D14" s="475">
        <v>16504</v>
      </c>
      <c r="E14" s="508">
        <f>(C14*1000)/D14</f>
        <v>124.38657295201165</v>
      </c>
      <c r="F14" s="475">
        <v>3415</v>
      </c>
      <c r="G14" s="475">
        <v>25306.666666666668</v>
      </c>
      <c r="H14" s="508">
        <f>(F14*1000)/G14</f>
        <v>134.94467860906215</v>
      </c>
      <c r="I14" s="475">
        <f t="shared" si="2"/>
        <v>21711.876</v>
      </c>
      <c r="J14" s="475">
        <f t="shared" si="2"/>
        <v>155387.3333333333</v>
      </c>
      <c r="K14" s="475">
        <f>SUM(C7:C14)+SUM(F18:F19)+SUM(F15+F16)</f>
        <v>39951.876000000004</v>
      </c>
      <c r="L14" s="497">
        <f>SUM(D7:D14)+SUM(G18:G19)+SUM(G15+G16)</f>
        <v>296420.6666666666</v>
      </c>
      <c r="M14" s="486"/>
    </row>
    <row r="15" spans="1:13" ht="12.75" customHeight="1">
      <c r="A15" s="486"/>
      <c r="B15" s="104" t="s">
        <v>137</v>
      </c>
      <c r="C15" s="475">
        <v>1652</v>
      </c>
      <c r="D15" s="475">
        <v>14135.86</v>
      </c>
      <c r="E15" s="508">
        <f>(C15*1000)/D15</f>
        <v>116.8658999169488</v>
      </c>
      <c r="F15" s="475">
        <v>4484</v>
      </c>
      <c r="G15" s="475">
        <v>30893</v>
      </c>
      <c r="H15" s="508">
        <f>(F15*1000)/G15</f>
        <v>145.14614961318097</v>
      </c>
      <c r="I15" s="475">
        <f t="shared" si="2"/>
        <v>19699.876</v>
      </c>
      <c r="J15" s="475">
        <f t="shared" si="2"/>
        <v>147596.52666666667</v>
      </c>
      <c r="K15" s="475">
        <f>SUM(C7:C15)+SUM(F18:F19)+F16</f>
        <v>37119.876000000004</v>
      </c>
      <c r="L15" s="497">
        <f>SUM(D7:D15)+SUM(G18:G19)+G16</f>
        <v>279663.5266666666</v>
      </c>
      <c r="M15" s="486"/>
    </row>
    <row r="16" spans="1:13" ht="12.75" customHeight="1">
      <c r="A16" s="486"/>
      <c r="B16" s="104" t="s">
        <v>138</v>
      </c>
      <c r="C16" s="475">
        <v>2708.9</v>
      </c>
      <c r="D16" s="475">
        <v>24522.54</v>
      </c>
      <c r="E16" s="508">
        <f>(C16*1000)/D16</f>
        <v>110.46571847777595</v>
      </c>
      <c r="F16" s="475">
        <v>2025</v>
      </c>
      <c r="G16" s="475">
        <v>12987</v>
      </c>
      <c r="H16" s="753">
        <f>(F16*1000)/G16</f>
        <v>155.92515592515593</v>
      </c>
      <c r="I16" s="482">
        <f t="shared" si="2"/>
        <v>18300.776</v>
      </c>
      <c r="J16" s="476">
        <f t="shared" si="2"/>
        <v>145685.73333333334</v>
      </c>
      <c r="K16" s="476">
        <f>SUM(C7:C16)+SUM(F18:F19)</f>
        <v>37803.776</v>
      </c>
      <c r="L16" s="498">
        <f>SUM(D7:D16)+SUM(G18:G19)</f>
        <v>291199.06666666665</v>
      </c>
      <c r="M16" s="487"/>
    </row>
    <row r="17" spans="1:13" ht="12.75" customHeight="1">
      <c r="A17" s="486"/>
      <c r="B17" s="499" t="s">
        <v>134</v>
      </c>
      <c r="C17" s="477">
        <f>SUM(C7:C16)</f>
        <v>32190.776</v>
      </c>
      <c r="D17" s="478">
        <f>SUM(D7:D16)</f>
        <v>244355.7333333333</v>
      </c>
      <c r="E17" s="484">
        <f>(C17*1000)/D17</f>
        <v>131.73734686260687</v>
      </c>
      <c r="F17" s="478">
        <f>SUM(F7:F16)</f>
        <v>40217</v>
      </c>
      <c r="G17" s="478">
        <f>SUM(G7:G16)</f>
        <v>303013.3333333333</v>
      </c>
      <c r="H17" s="484">
        <f>(F17*1000)/G17</f>
        <v>132.723532517821</v>
      </c>
      <c r="I17" s="328"/>
      <c r="J17" s="328"/>
      <c r="K17" s="328"/>
      <c r="L17" s="500"/>
      <c r="M17" s="486"/>
    </row>
    <row r="18" spans="1:13" ht="12.75" customHeight="1">
      <c r="A18" s="486"/>
      <c r="B18" s="104" t="s">
        <v>139</v>
      </c>
      <c r="C18" s="475"/>
      <c r="D18" s="475"/>
      <c r="E18" s="508"/>
      <c r="F18" s="475">
        <v>1892</v>
      </c>
      <c r="G18" s="475">
        <v>15470</v>
      </c>
      <c r="H18" s="508">
        <f t="shared" si="1"/>
        <v>122.30122818358113</v>
      </c>
      <c r="I18" s="475"/>
      <c r="J18" s="475"/>
      <c r="K18" s="475"/>
      <c r="L18" s="497"/>
      <c r="M18" s="486"/>
    </row>
    <row r="19" spans="1:13" ht="12.75" customHeight="1">
      <c r="A19" s="486"/>
      <c r="B19" s="104" t="s">
        <v>140</v>
      </c>
      <c r="C19" s="475"/>
      <c r="D19" s="475"/>
      <c r="E19" s="483"/>
      <c r="F19" s="475">
        <v>3721</v>
      </c>
      <c r="G19" s="475">
        <v>31373.333333333332</v>
      </c>
      <c r="H19" s="483">
        <f t="shared" si="1"/>
        <v>118.60390990225245</v>
      </c>
      <c r="I19" s="475"/>
      <c r="J19" s="475"/>
      <c r="K19" s="475"/>
      <c r="L19" s="497"/>
      <c r="M19" s="486"/>
    </row>
    <row r="20" spans="1:13" ht="12.75" customHeight="1">
      <c r="A20" s="486"/>
      <c r="B20" s="499" t="s">
        <v>134</v>
      </c>
      <c r="C20" s="477"/>
      <c r="D20" s="478"/>
      <c r="E20" s="514"/>
      <c r="F20" s="480">
        <f>SUM(F18:F19)</f>
        <v>5613</v>
      </c>
      <c r="G20" s="480">
        <f>SUM(G18:G19)</f>
        <v>46843.33333333333</v>
      </c>
      <c r="H20" s="481">
        <f>(F20*1000)/G20</f>
        <v>119.82494840959227</v>
      </c>
      <c r="I20" s="328"/>
      <c r="J20" s="328"/>
      <c r="K20" s="328"/>
      <c r="L20" s="500"/>
      <c r="M20" s="486"/>
    </row>
    <row r="21" spans="1:13" ht="12.75" customHeight="1">
      <c r="A21" s="486"/>
      <c r="B21" s="499" t="s">
        <v>120</v>
      </c>
      <c r="C21" s="482">
        <f>SUM(C17+C20)</f>
        <v>32190.776</v>
      </c>
      <c r="D21" s="482">
        <f>SUM(D17+D20)</f>
        <v>244355.7333333333</v>
      </c>
      <c r="E21" s="513">
        <f>(C21*1000)/D21</f>
        <v>131.73734686260687</v>
      </c>
      <c r="F21" s="477">
        <f>SUM(F17,F20)</f>
        <v>45830</v>
      </c>
      <c r="G21" s="478">
        <f>SUM(G17,G20)</f>
        <v>349856.6666666666</v>
      </c>
      <c r="H21" s="484">
        <f>(F21*1000)/G21</f>
        <v>130.99650332993514</v>
      </c>
      <c r="I21" s="346"/>
      <c r="J21" s="346"/>
      <c r="K21" s="346"/>
      <c r="L21" s="501"/>
      <c r="M21" s="486"/>
    </row>
    <row r="22" spans="1:13" ht="12.75" customHeight="1">
      <c r="A22" s="486"/>
      <c r="B22" s="502" t="s">
        <v>121</v>
      </c>
      <c r="C22" s="503"/>
      <c r="D22" s="485" t="s">
        <v>458</v>
      </c>
      <c r="E22" s="750"/>
      <c r="F22" s="485"/>
      <c r="G22" s="504"/>
      <c r="H22" s="150"/>
      <c r="I22" s="150"/>
      <c r="J22" s="485" t="s">
        <v>142</v>
      </c>
      <c r="K22" s="150"/>
      <c r="L22" s="92"/>
      <c r="M22" s="486"/>
    </row>
    <row r="23" spans="1:13" ht="12.75" customHeight="1">
      <c r="A23" s="486"/>
      <c r="B23" s="502" t="s">
        <v>387</v>
      </c>
      <c r="C23" s="503"/>
      <c r="D23" s="485" t="s">
        <v>141</v>
      </c>
      <c r="E23" s="750"/>
      <c r="F23" s="750"/>
      <c r="G23" s="504"/>
      <c r="H23" s="150"/>
      <c r="I23" s="150"/>
      <c r="J23" s="485" t="s">
        <v>143</v>
      </c>
      <c r="K23" s="150"/>
      <c r="L23" s="92"/>
      <c r="M23" s="486"/>
    </row>
    <row r="24" spans="1:13" ht="14.25">
      <c r="A24" s="486"/>
      <c r="B24" s="157"/>
      <c r="C24" s="503"/>
      <c r="D24" s="503"/>
      <c r="E24" s="150"/>
      <c r="F24" s="504"/>
      <c r="G24" s="504"/>
      <c r="H24" s="150"/>
      <c r="I24" s="150"/>
      <c r="J24" s="150"/>
      <c r="K24" s="150"/>
      <c r="L24" s="92"/>
      <c r="M24" s="486"/>
    </row>
    <row r="25" spans="1:13" ht="14.25">
      <c r="A25" s="486"/>
      <c r="B25" s="505"/>
      <c r="C25" s="503"/>
      <c r="D25" s="503"/>
      <c r="E25" s="158"/>
      <c r="F25" s="158"/>
      <c r="G25" s="158"/>
      <c r="H25" s="158"/>
      <c r="I25" s="158"/>
      <c r="J25" s="158"/>
      <c r="K25" s="158"/>
      <c r="L25" s="159"/>
      <c r="M25" s="486"/>
    </row>
    <row r="26" spans="1:13" ht="14.25">
      <c r="A26" s="486"/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92"/>
      <c r="M26" s="486"/>
    </row>
    <row r="27" spans="1:13" ht="14.25">
      <c r="A27" s="486"/>
      <c r="B27" s="155"/>
      <c r="C27" s="150"/>
      <c r="D27" s="150"/>
      <c r="E27" s="150"/>
      <c r="F27" s="150"/>
      <c r="G27" s="150"/>
      <c r="H27" s="150"/>
      <c r="I27" s="150"/>
      <c r="J27" s="150"/>
      <c r="K27" s="150"/>
      <c r="L27" s="92"/>
      <c r="M27" s="486"/>
    </row>
    <row r="28" spans="1:13" ht="14.25">
      <c r="A28" s="486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92"/>
      <c r="M28" s="486"/>
    </row>
    <row r="29" spans="1:15" ht="14.25">
      <c r="A29" s="486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92"/>
      <c r="M29" s="486"/>
      <c r="O29" s="773" t="s">
        <v>347</v>
      </c>
    </row>
    <row r="30" spans="1:13" ht="14.25">
      <c r="A30" s="486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92"/>
      <c r="M30" s="486"/>
    </row>
    <row r="31" spans="1:13" ht="14.25">
      <c r="A31" s="486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92"/>
      <c r="M31" s="486"/>
    </row>
    <row r="32" spans="1:13" ht="14.25">
      <c r="A32" s="486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92"/>
      <c r="M32" s="486"/>
    </row>
    <row r="33" spans="1:13" ht="14.25">
      <c r="A33" s="486"/>
      <c r="B33" s="155"/>
      <c r="C33" s="150"/>
      <c r="D33" s="150"/>
      <c r="E33" s="150"/>
      <c r="F33" s="150"/>
      <c r="G33" s="150"/>
      <c r="H33" s="150"/>
      <c r="I33" s="150"/>
      <c r="J33" s="150"/>
      <c r="K33" s="150"/>
      <c r="L33" s="92"/>
      <c r="M33" s="486"/>
    </row>
    <row r="34" spans="1:13" ht="14.25">
      <c r="A34" s="486"/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92"/>
      <c r="M34" s="486"/>
    </row>
    <row r="35" spans="1:13" ht="14.25">
      <c r="A35" s="486"/>
      <c r="B35" s="506"/>
      <c r="C35" s="128"/>
      <c r="D35" s="128"/>
      <c r="E35" s="128"/>
      <c r="F35" s="128"/>
      <c r="G35" s="128"/>
      <c r="H35" s="128"/>
      <c r="I35" s="128"/>
      <c r="J35" s="128"/>
      <c r="K35" s="128"/>
      <c r="L35" s="507"/>
      <c r="M35" s="486"/>
    </row>
    <row r="36" spans="1:13" ht="15" customHeight="1">
      <c r="A36" s="486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6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4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4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6">
    <mergeCell ref="B2:L2"/>
    <mergeCell ref="B3:L3"/>
    <mergeCell ref="C5:E5"/>
    <mergeCell ref="F5:H5"/>
    <mergeCell ref="I5:J5"/>
    <mergeCell ref="K5:L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U28" sqref="U28"/>
    </sheetView>
  </sheetViews>
  <sheetFormatPr defaultColWidth="11.421875" defaultRowHeight="12.75"/>
  <cols>
    <col min="1" max="1" width="2.7109375" style="2" customWidth="1"/>
    <col min="2" max="2" width="9.140625" style="2" customWidth="1"/>
    <col min="3" max="3" width="10.28125" style="2" bestFit="1" customWidth="1"/>
    <col min="4" max="4" width="5.28125" style="2" bestFit="1" customWidth="1"/>
    <col min="5" max="5" width="6.28125" style="2" bestFit="1" customWidth="1"/>
    <col min="6" max="6" width="11.28125" style="2" bestFit="1" customWidth="1"/>
    <col min="7" max="7" width="5.7109375" style="2" bestFit="1" customWidth="1"/>
    <col min="8" max="8" width="6.57421875" style="2" bestFit="1" customWidth="1"/>
    <col min="9" max="9" width="7.8515625" style="2" bestFit="1" customWidth="1"/>
    <col min="10" max="10" width="5.28125" style="2" bestFit="1" customWidth="1"/>
    <col min="11" max="11" width="6.57421875" style="2" bestFit="1" customWidth="1"/>
    <col min="12" max="12" width="12.140625" style="2" customWidth="1"/>
    <col min="13" max="13" width="10.57421875" style="2" customWidth="1"/>
    <col min="14" max="14" width="11.421875" style="2" customWidth="1"/>
    <col min="15" max="15" width="10.140625" style="2" customWidth="1"/>
    <col min="16" max="16" width="7.8515625" style="2" bestFit="1" customWidth="1"/>
    <col min="17" max="17" width="5.7109375" style="2" bestFit="1" customWidth="1"/>
    <col min="18" max="18" width="2.7109375" style="2" customWidth="1"/>
    <col min="19" max="16384" width="11.421875" style="2" customWidth="1"/>
  </cols>
  <sheetData>
    <row r="1" spans="1:18" ht="15" customHeight="1">
      <c r="A1" s="486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486"/>
    </row>
    <row r="2" spans="1:18" ht="20.25" customHeight="1">
      <c r="A2" s="486"/>
      <c r="B2" s="958" t="s">
        <v>463</v>
      </c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766"/>
      <c r="R2" s="486"/>
    </row>
    <row r="3" spans="1:18" ht="13.5" customHeight="1" thickBot="1">
      <c r="A3" s="486"/>
      <c r="B3" s="783"/>
      <c r="C3" s="784"/>
      <c r="D3" s="784"/>
      <c r="E3" s="784"/>
      <c r="F3" s="784"/>
      <c r="G3" s="784"/>
      <c r="H3" s="784"/>
      <c r="I3" s="785"/>
      <c r="J3" s="785"/>
      <c r="K3" s="785"/>
      <c r="L3" s="785"/>
      <c r="M3" s="785"/>
      <c r="N3" s="785"/>
      <c r="O3" s="785"/>
      <c r="P3" s="785"/>
      <c r="Q3" s="786"/>
      <c r="R3" s="486"/>
    </row>
    <row r="4" spans="1:18" ht="12.75" customHeight="1">
      <c r="A4" s="486"/>
      <c r="B4" s="975" t="s">
        <v>123</v>
      </c>
      <c r="C4" s="972">
        <v>2015</v>
      </c>
      <c r="D4" s="973"/>
      <c r="E4" s="973"/>
      <c r="F4" s="973"/>
      <c r="G4" s="973"/>
      <c r="H4" s="973"/>
      <c r="I4" s="973"/>
      <c r="J4" s="973"/>
      <c r="K4" s="974"/>
      <c r="L4" s="964">
        <v>2014</v>
      </c>
      <c r="M4" s="965"/>
      <c r="N4" s="966"/>
      <c r="O4" s="966"/>
      <c r="P4" s="966"/>
      <c r="Q4" s="797"/>
      <c r="R4" s="486"/>
    </row>
    <row r="5" spans="1:18" ht="12.75" customHeight="1">
      <c r="A5" s="486"/>
      <c r="B5" s="976"/>
      <c r="C5" s="969" t="s">
        <v>126</v>
      </c>
      <c r="D5" s="967" t="s">
        <v>467</v>
      </c>
      <c r="E5" s="968"/>
      <c r="F5" s="969" t="s">
        <v>127</v>
      </c>
      <c r="G5" s="971" t="s">
        <v>467</v>
      </c>
      <c r="H5" s="968"/>
      <c r="I5" s="776" t="s">
        <v>13</v>
      </c>
      <c r="J5" s="971" t="s">
        <v>467</v>
      </c>
      <c r="K5" s="968"/>
      <c r="L5" s="969" t="s">
        <v>126</v>
      </c>
      <c r="M5" s="780" t="s">
        <v>471</v>
      </c>
      <c r="N5" s="969" t="s">
        <v>127</v>
      </c>
      <c r="O5" s="780" t="s">
        <v>471</v>
      </c>
      <c r="P5" s="776" t="s">
        <v>13</v>
      </c>
      <c r="Q5" s="780" t="s">
        <v>473</v>
      </c>
      <c r="R5" s="486"/>
    </row>
    <row r="6" spans="1:18" ht="12.75" customHeight="1" thickBot="1">
      <c r="A6" s="486"/>
      <c r="B6" s="970"/>
      <c r="C6" s="970"/>
      <c r="D6" s="787" t="s">
        <v>468</v>
      </c>
      <c r="E6" s="788" t="s">
        <v>469</v>
      </c>
      <c r="F6" s="970"/>
      <c r="G6" s="788" t="s">
        <v>468</v>
      </c>
      <c r="H6" s="789" t="s">
        <v>469</v>
      </c>
      <c r="I6" s="790" t="s">
        <v>470</v>
      </c>
      <c r="J6" s="788" t="s">
        <v>468</v>
      </c>
      <c r="K6" s="789" t="s">
        <v>469</v>
      </c>
      <c r="L6" s="970"/>
      <c r="M6" s="787" t="s">
        <v>472</v>
      </c>
      <c r="N6" s="970"/>
      <c r="O6" s="787" t="s">
        <v>472</v>
      </c>
      <c r="P6" s="790" t="s">
        <v>470</v>
      </c>
      <c r="Q6" s="788" t="s">
        <v>14</v>
      </c>
      <c r="R6" s="486"/>
    </row>
    <row r="7" spans="1:18" ht="12.75" customHeight="1">
      <c r="A7" s="486"/>
      <c r="B7" s="104" t="s">
        <v>128</v>
      </c>
      <c r="C7" s="774">
        <f>'Exp. Verde'!C7+'Exp. Solúvel'!C7+'Exp. Torrado'!C7+'Exp. Extrato'!C7</f>
        <v>589036</v>
      </c>
      <c r="D7" s="768" t="s">
        <v>464</v>
      </c>
      <c r="E7" s="767">
        <f>(C7/L7-1)*100</f>
        <v>50.48656050646234</v>
      </c>
      <c r="F7" s="774">
        <f>'Exp. Verde'!D7+'Exp. Solúvel'!D7+'Exp. Torrado'!D7+'Exp. Extrato'!D7</f>
        <v>2980332.3333333335</v>
      </c>
      <c r="G7" s="768" t="s">
        <v>464</v>
      </c>
      <c r="H7" s="767">
        <f>(F7/N7-1)*100</f>
        <v>4.349250441027763</v>
      </c>
      <c r="I7" s="777">
        <f aca="true" t="shared" si="0" ref="I7:I17">(C7*1000)/F7</f>
        <v>197.64104607126026</v>
      </c>
      <c r="J7" s="791" t="s">
        <v>464</v>
      </c>
      <c r="K7" s="767">
        <f>(I7/P7-1)*100</f>
        <v>44.214318617946134</v>
      </c>
      <c r="L7" s="774">
        <f>'Exp. Verde'!F7+'Exp. Solúvel'!F7+'Exp. Torrado'!F7+'Exp. Extrato'!F7</f>
        <v>391421</v>
      </c>
      <c r="M7" s="768" t="s">
        <v>464</v>
      </c>
      <c r="N7" s="798">
        <f>'Exp. Verde'!G7+'Exp. Solúvel'!G7+'Exp. Torrado'!G7+'Exp. Extrato'!G7</f>
        <v>2856112.833333333</v>
      </c>
      <c r="O7" s="768" t="s">
        <v>464</v>
      </c>
      <c r="P7" s="508">
        <f aca="true" t="shared" si="1" ref="P7:P21">(L7*1000)/N7</f>
        <v>137.04675649777377</v>
      </c>
      <c r="Q7" s="768" t="s">
        <v>464</v>
      </c>
      <c r="R7" s="486"/>
    </row>
    <row r="8" spans="1:18" ht="12.75" customHeight="1">
      <c r="A8" s="486"/>
      <c r="B8" s="104" t="s">
        <v>129</v>
      </c>
      <c r="C8" s="774">
        <f>'Exp. Verde'!C8+'Exp. Solúvel'!C8+'Exp. Torrado'!C8+'Exp. Extrato'!C8</f>
        <v>540020</v>
      </c>
      <c r="D8" s="767">
        <f aca="true" t="shared" si="2" ref="D8:D16">(C8/C7-1)*100</f>
        <v>-8.321392919957349</v>
      </c>
      <c r="E8" s="767">
        <f aca="true" t="shared" si="3" ref="E8:E17">(C8/L8-1)*100</f>
        <v>32.204252902265495</v>
      </c>
      <c r="F8" s="774">
        <f>'Exp. Verde'!D8+'Exp. Solúvel'!D8+'Exp. Torrado'!D8+'Exp. Extrato'!D8</f>
        <v>2776889.666666667</v>
      </c>
      <c r="G8" s="767">
        <f>(F8/F7-1)*100</f>
        <v>-6.826173859581875</v>
      </c>
      <c r="H8" s="767">
        <f aca="true" t="shared" si="4" ref="H8:H17">(F8/N8-1)*100</f>
        <v>-3.763014487181804</v>
      </c>
      <c r="I8" s="777">
        <f t="shared" si="0"/>
        <v>194.4693757488144</v>
      </c>
      <c r="J8" s="792">
        <f aca="true" t="shared" si="5" ref="J8:J16">(I8/I7-1)*100</f>
        <v>-1.604762970796214</v>
      </c>
      <c r="K8" s="767">
        <f aca="true" t="shared" si="6" ref="K8:K17">(I8/P8-1)*100</f>
        <v>37.373642989530985</v>
      </c>
      <c r="L8" s="774">
        <f>'Exp. Verde'!F8+'Exp. Solúvel'!F8+'Exp. Torrado'!F8+'Exp. Extrato'!F8</f>
        <v>408474</v>
      </c>
      <c r="M8" s="767">
        <f>(L8/L7-1)*100</f>
        <v>4.356690111159089</v>
      </c>
      <c r="N8" s="774">
        <f>'Exp. Verde'!G8+'Exp. Solúvel'!G8+'Exp. Torrado'!G8+'Exp. Extrato'!G8</f>
        <v>2885470.3333333335</v>
      </c>
      <c r="O8" s="767">
        <f>(N8/N7-1)*100</f>
        <v>1.0278830604089961</v>
      </c>
      <c r="P8" s="508">
        <f t="shared" si="1"/>
        <v>141.56236343214294</v>
      </c>
      <c r="Q8" s="767">
        <f>(P8/P7-1)*100</f>
        <v>3.2949389316211386</v>
      </c>
      <c r="R8" s="486"/>
    </row>
    <row r="9" spans="1:18" ht="12.75" customHeight="1">
      <c r="A9" s="486"/>
      <c r="B9" s="104" t="s">
        <v>130</v>
      </c>
      <c r="C9" s="774">
        <f>'Exp. Verde'!C9+'Exp. Solúvel'!C9+'Exp. Torrado'!C9+'Exp. Extrato'!C9</f>
        <v>575297</v>
      </c>
      <c r="D9" s="767">
        <f t="shared" si="2"/>
        <v>6.532535832006214</v>
      </c>
      <c r="E9" s="767">
        <f t="shared" si="3"/>
        <v>27.364603834905576</v>
      </c>
      <c r="F9" s="774">
        <f>'Exp. Verde'!D9+'Exp. Solúvel'!D9+'Exp. Torrado'!D9+'Exp. Extrato'!D9</f>
        <v>3176070.166666667</v>
      </c>
      <c r="G9" s="767">
        <f aca="true" t="shared" si="7" ref="G9:G16">(F9/F8-1)*100</f>
        <v>14.375094005055299</v>
      </c>
      <c r="H9" s="767">
        <f t="shared" si="4"/>
        <v>13.066786961627441</v>
      </c>
      <c r="I9" s="777">
        <f t="shared" si="0"/>
        <v>181.13485213199266</v>
      </c>
      <c r="J9" s="792">
        <f t="shared" si="5"/>
        <v>-6.856875827094355</v>
      </c>
      <c r="K9" s="767">
        <f t="shared" si="6"/>
        <v>12.645461375081357</v>
      </c>
      <c r="L9" s="774">
        <f>'Exp. Verde'!F9+'Exp. Solúvel'!F9+'Exp. Torrado'!F9+'Exp. Extrato'!F9</f>
        <v>451693</v>
      </c>
      <c r="M9" s="767">
        <f>(L9/L8-1)*100</f>
        <v>10.580599989228201</v>
      </c>
      <c r="N9" s="774">
        <f>'Exp. Verde'!G9+'Exp. Solúvel'!G9+'Exp. Torrado'!G9+'Exp. Extrato'!G9</f>
        <v>2809021.3333333335</v>
      </c>
      <c r="O9" s="767">
        <f>(N9/N8-1)*100</f>
        <v>-2.64944675108425</v>
      </c>
      <c r="P9" s="508">
        <f t="shared" si="1"/>
        <v>160.8008435678191</v>
      </c>
      <c r="Q9" s="767">
        <f>(P9/P8-1)*100</f>
        <v>13.59010945370236</v>
      </c>
      <c r="R9" s="486"/>
    </row>
    <row r="10" spans="1:20" ht="12.75" customHeight="1">
      <c r="A10" s="486"/>
      <c r="B10" s="104" t="s">
        <v>131</v>
      </c>
      <c r="C10" s="774">
        <f>'Exp. Verde'!C10+'Exp. Solúvel'!C10+'Exp. Torrado'!C10+'Exp. Extrato'!C10</f>
        <v>525221</v>
      </c>
      <c r="D10" s="767">
        <f t="shared" si="2"/>
        <v>-8.704373567044499</v>
      </c>
      <c r="E10" s="767">
        <f t="shared" si="3"/>
        <v>-5.214783159513248</v>
      </c>
      <c r="F10" s="774">
        <f>'Exp. Verde'!D10+'Exp. Solúvel'!D10+'Exp. Torrado'!D10+'Exp. Extrato'!D10</f>
        <v>3149914.8333333335</v>
      </c>
      <c r="G10" s="767">
        <f t="shared" si="7"/>
        <v>-0.8235124528367721</v>
      </c>
      <c r="H10" s="767">
        <f t="shared" si="4"/>
        <v>-1.20615388346893</v>
      </c>
      <c r="I10" s="777">
        <f t="shared" si="0"/>
        <v>166.74133358843721</v>
      </c>
      <c r="J10" s="792">
        <f t="shared" si="5"/>
        <v>-7.946299883286356</v>
      </c>
      <c r="K10" s="767">
        <f t="shared" si="6"/>
        <v>-4.057569811905082</v>
      </c>
      <c r="L10" s="774">
        <f>'Exp. Verde'!F10+'Exp. Solúvel'!F10+'Exp. Torrado'!F10+'Exp. Extrato'!F10</f>
        <v>554117</v>
      </c>
      <c r="M10" s="767">
        <f>(L10/L9-1)*100</f>
        <v>22.675578324215785</v>
      </c>
      <c r="N10" s="774">
        <f>'Exp. Verde'!G10+'Exp. Solúvel'!G10+'Exp. Torrado'!G10+'Exp. Extrato'!G10</f>
        <v>3188371.5</v>
      </c>
      <c r="O10" s="767">
        <f>(N10/N9-1)*100</f>
        <v>13.504709350729982</v>
      </c>
      <c r="P10" s="508">
        <f t="shared" si="1"/>
        <v>173.7931103699804</v>
      </c>
      <c r="Q10" s="767">
        <f>(P10/P9-1)*100</f>
        <v>8.079725524998072</v>
      </c>
      <c r="R10" s="486"/>
      <c r="T10" s="773" t="s">
        <v>347</v>
      </c>
    </row>
    <row r="11" spans="1:18" ht="12.75" customHeight="1">
      <c r="A11" s="486"/>
      <c r="B11" s="104" t="s">
        <v>132</v>
      </c>
      <c r="C11" s="774">
        <f>'Exp. Verde'!C11+'Exp. Solúvel'!C11+'Exp. Torrado'!C11+'Exp. Extrato'!C11</f>
        <v>483859</v>
      </c>
      <c r="D11" s="767">
        <f t="shared" si="2"/>
        <v>-7.875161122651231</v>
      </c>
      <c r="E11" s="767">
        <f t="shared" si="3"/>
        <v>-12.466011900131523</v>
      </c>
      <c r="F11" s="774">
        <f>'Exp. Verde'!D11+'Exp. Solúvel'!D11+'Exp. Torrado'!D11+'Exp. Extrato'!D11</f>
        <v>2926983</v>
      </c>
      <c r="G11" s="767">
        <f t="shared" si="7"/>
        <v>-7.077392409921779</v>
      </c>
      <c r="H11" s="767">
        <f t="shared" si="4"/>
        <v>-2.398497766217522</v>
      </c>
      <c r="I11" s="777">
        <f t="shared" si="0"/>
        <v>165.3098087689611</v>
      </c>
      <c r="J11" s="792">
        <f t="shared" si="5"/>
        <v>-0.858530268811164</v>
      </c>
      <c r="K11" s="767">
        <f t="shared" si="6"/>
        <v>-10.314917192359928</v>
      </c>
      <c r="L11" s="774">
        <f>'Exp. Verde'!F11+'Exp. Solúvel'!F11+'Exp. Torrado'!F11+'Exp. Extrato'!F11</f>
        <v>552767</v>
      </c>
      <c r="M11" s="767">
        <f>(L11/L10-1)*100</f>
        <v>-0.24363085774303794</v>
      </c>
      <c r="N11" s="774">
        <f>'Exp. Verde'!G11+'Exp. Solúvel'!G11+'Exp. Torrado'!G11+'Exp. Extrato'!G11</f>
        <v>2998911.833333333</v>
      </c>
      <c r="O11" s="767">
        <f>(N11/N10-1)*100</f>
        <v>-5.942208010160266</v>
      </c>
      <c r="P11" s="508">
        <f t="shared" si="1"/>
        <v>184.3225245423743</v>
      </c>
      <c r="Q11" s="767">
        <f>(P11/P10-1)*100</f>
        <v>6.058591246786649</v>
      </c>
      <c r="R11" s="486"/>
    </row>
    <row r="12" spans="1:18" ht="12.75" customHeight="1">
      <c r="A12" s="486"/>
      <c r="B12" s="104" t="s">
        <v>133</v>
      </c>
      <c r="C12" s="774">
        <f>'Exp. Verde'!C12+'Exp. Solúvel'!C12+'Exp. Torrado'!C12+'Exp. Extrato'!C12</f>
        <v>449592</v>
      </c>
      <c r="D12" s="767">
        <f t="shared" si="2"/>
        <v>-7.0820218286732235</v>
      </c>
      <c r="E12" s="767">
        <f t="shared" si="3"/>
        <v>-18.532544979134467</v>
      </c>
      <c r="F12" s="774">
        <f>'Exp. Verde'!D12+'Exp. Solúvel'!D12+'Exp. Torrado'!D12+'Exp. Extrato'!D12</f>
        <v>2730748.1666666665</v>
      </c>
      <c r="G12" s="767">
        <f t="shared" si="7"/>
        <v>-6.7043379935357805</v>
      </c>
      <c r="H12" s="767">
        <f t="shared" si="4"/>
        <v>-7.194762777940822</v>
      </c>
      <c r="I12" s="777">
        <f t="shared" si="0"/>
        <v>164.6405939178207</v>
      </c>
      <c r="J12" s="792">
        <f t="shared" si="5"/>
        <v>-0.4048246478076223</v>
      </c>
      <c r="K12" s="767">
        <f t="shared" si="6"/>
        <v>-12.21674825749891</v>
      </c>
      <c r="L12" s="774">
        <f>'Exp. Verde'!F12+'Exp. Solúvel'!F12+'Exp. Torrado'!F12+'Exp. Extrato'!F12</f>
        <v>551867</v>
      </c>
      <c r="M12" s="767">
        <f>(L12/L11-1)*100</f>
        <v>-0.16281724487894333</v>
      </c>
      <c r="N12" s="774">
        <f>'Exp. Verde'!G12+'Exp. Solúvel'!G12+'Exp. Torrado'!G12+'Exp. Extrato'!G12</f>
        <v>2942450.5</v>
      </c>
      <c r="O12" s="767">
        <f>(N12/N11-1)*100</f>
        <v>-1.8827273514932075</v>
      </c>
      <c r="P12" s="508">
        <f t="shared" si="1"/>
        <v>187.55353743418962</v>
      </c>
      <c r="Q12" s="767">
        <f>(P12/P11-1)*100</f>
        <v>1.7529126729557865</v>
      </c>
      <c r="R12" s="486"/>
    </row>
    <row r="13" spans="1:19" ht="12.75" customHeight="1">
      <c r="A13" s="486"/>
      <c r="B13" s="104" t="s">
        <v>135</v>
      </c>
      <c r="C13" s="774">
        <f>'Exp. Verde'!C13+'Exp. Solúvel'!C13+'Exp. Torrado'!C13+'Exp. Extrato'!C13</f>
        <v>460996</v>
      </c>
      <c r="D13" s="767">
        <f t="shared" si="2"/>
        <v>2.536522002170849</v>
      </c>
      <c r="E13" s="767">
        <f t="shared" si="3"/>
        <v>-20.884590037893346</v>
      </c>
      <c r="F13" s="774">
        <f>'Exp. Verde'!D13+'Exp. Solúvel'!D13+'Exp. Torrado'!D13+'Exp. Extrato'!D13</f>
        <v>2847872</v>
      </c>
      <c r="G13" s="767">
        <f t="shared" si="7"/>
        <v>4.289074868309917</v>
      </c>
      <c r="H13" s="767">
        <f t="shared" si="4"/>
        <v>-8.867055869330997</v>
      </c>
      <c r="I13" s="777">
        <f t="shared" si="0"/>
        <v>161.87384826284327</v>
      </c>
      <c r="J13" s="792">
        <f t="shared" si="5"/>
        <v>-1.6804759926694834</v>
      </c>
      <c r="K13" s="767">
        <f t="shared" si="6"/>
        <v>-13.186816560355242</v>
      </c>
      <c r="L13" s="774">
        <f>'Exp. Verde'!F13+'Exp. Solúvel'!F13+'Exp. Torrado'!F13+'Exp. Extrato'!F13</f>
        <v>582688</v>
      </c>
      <c r="M13" s="767">
        <f>(L13/L12-1)*100</f>
        <v>5.584860120282609</v>
      </c>
      <c r="N13" s="774">
        <f>'Exp. Verde'!G13+'Exp. Solúvel'!G13+'Exp. Torrado'!G13+'Exp. Extrato'!G13</f>
        <v>3124964.3333333335</v>
      </c>
      <c r="O13" s="767">
        <f>(N13/N12-1)*100</f>
        <v>6.202783473616069</v>
      </c>
      <c r="P13" s="508">
        <f t="shared" si="1"/>
        <v>186.4622881562488</v>
      </c>
      <c r="Q13" s="767">
        <f>(P13/P12-1)*100</f>
        <v>-0.5818334822523585</v>
      </c>
      <c r="R13" s="486"/>
      <c r="S13" s="754"/>
    </row>
    <row r="14" spans="1:18" ht="12.75" customHeight="1">
      <c r="A14" s="486"/>
      <c r="B14" s="104" t="s">
        <v>136</v>
      </c>
      <c r="C14" s="774">
        <f>'Exp. Verde'!C14+'Exp. Solúvel'!C14+'Exp. Torrado'!C14+'Exp. Extrato'!C14</f>
        <v>477197.828</v>
      </c>
      <c r="D14" s="767">
        <f t="shared" si="2"/>
        <v>3.5145268071740343</v>
      </c>
      <c r="E14" s="767">
        <f t="shared" si="3"/>
        <v>-15.973723532570894</v>
      </c>
      <c r="F14" s="774">
        <f>'Exp. Verde'!D14+'Exp. Solúvel'!D14+'Exp. Torrado'!D14+'Exp. Extrato'!D14</f>
        <v>2995693.761</v>
      </c>
      <c r="G14" s="767">
        <f t="shared" si="7"/>
        <v>5.190604107207064</v>
      </c>
      <c r="H14" s="767">
        <f t="shared" si="4"/>
        <v>-0.4486220284259934</v>
      </c>
      <c r="I14" s="777">
        <f t="shared" si="0"/>
        <v>159.29459620088318</v>
      </c>
      <c r="J14" s="792">
        <f t="shared" si="5"/>
        <v>-1.593371683962208</v>
      </c>
      <c r="K14" s="767">
        <f t="shared" si="6"/>
        <v>-15.595064398383263</v>
      </c>
      <c r="L14" s="774">
        <f>'Exp. Verde'!F14+'Exp. Solúvel'!F14+'Exp. Torrado'!F14+'Exp. Extrato'!F14</f>
        <v>567915</v>
      </c>
      <c r="M14" s="767">
        <f>(L14/L13-1)*100</f>
        <v>-2.5353190729858865</v>
      </c>
      <c r="N14" s="774">
        <f>'Exp. Verde'!G14+'Exp. Solúvel'!G14+'Exp. Torrado'!G14+'Exp. Extrato'!G14</f>
        <v>3009193.6666666665</v>
      </c>
      <c r="O14" s="767">
        <f>(N14/N13-1)*100</f>
        <v>-3.704703616350613</v>
      </c>
      <c r="P14" s="508">
        <f t="shared" si="1"/>
        <v>188.7266367369066</v>
      </c>
      <c r="Q14" s="767">
        <f>(P14/P13-1)*100</f>
        <v>1.2143734816556506</v>
      </c>
      <c r="R14" s="486"/>
    </row>
    <row r="15" spans="1:18" ht="12.75" customHeight="1">
      <c r="A15" s="486"/>
      <c r="B15" s="104" t="s">
        <v>137</v>
      </c>
      <c r="C15" s="774">
        <f>'Exp. Verde'!C15+'Exp. Solúvel'!C15+'Exp. Torrado'!C15+'Exp. Extrato'!C15</f>
        <v>507049.5</v>
      </c>
      <c r="D15" s="767">
        <f t="shared" si="2"/>
        <v>6.2556177435074245</v>
      </c>
      <c r="E15" s="792">
        <f t="shared" si="3"/>
        <v>-17.458670939517738</v>
      </c>
      <c r="F15" s="774">
        <f>'Exp. Verde'!D15+'Exp. Solúvel'!D15+'Exp. Torrado'!D15+'Exp. Extrato'!D15</f>
        <v>3233337.0599999996</v>
      </c>
      <c r="G15" s="767">
        <f t="shared" si="7"/>
        <v>7.932830187578022</v>
      </c>
      <c r="H15" s="792">
        <f t="shared" si="4"/>
        <v>4.315214775735421</v>
      </c>
      <c r="I15" s="777">
        <f t="shared" si="0"/>
        <v>156.81925224337732</v>
      </c>
      <c r="J15" s="792">
        <f t="shared" si="5"/>
        <v>-1.5539409474909283</v>
      </c>
      <c r="K15" s="792">
        <f t="shared" si="6"/>
        <v>-20.87316386402913</v>
      </c>
      <c r="L15" s="774">
        <f>'Exp. Verde'!F15+'Exp. Solúvel'!F15+'Exp. Torrado'!F15+'Exp. Extrato'!F15</f>
        <v>614297.717</v>
      </c>
      <c r="M15" s="767">
        <f>(L15/L14-1)*100</f>
        <v>8.167193506070447</v>
      </c>
      <c r="N15" s="774">
        <f>'Exp. Verde'!G15+'Exp. Solúvel'!G15+'Exp. Torrado'!G15+'Exp. Extrato'!G15</f>
        <v>3099583.38</v>
      </c>
      <c r="O15" s="767">
        <f>(N15/N14-1)*100</f>
        <v>3.0037851778898395</v>
      </c>
      <c r="P15" s="508">
        <f t="shared" si="1"/>
        <v>198.18718895053567</v>
      </c>
      <c r="Q15" s="792">
        <f>(P15/P14-1)*100</f>
        <v>5.012833576225639</v>
      </c>
      <c r="R15" s="486"/>
    </row>
    <row r="16" spans="1:18" ht="14.25">
      <c r="A16" s="486"/>
      <c r="B16" s="104" t="s">
        <v>138</v>
      </c>
      <c r="C16" s="774">
        <f>'Exp. Verde'!C16+'Exp. Solúvel'!C16+'Exp. Torrado'!C16+'Exp. Extrato'!C16</f>
        <v>552375.26</v>
      </c>
      <c r="D16" s="771">
        <f t="shared" si="2"/>
        <v>8.93911935619698</v>
      </c>
      <c r="E16" s="771">
        <f t="shared" si="3"/>
        <v>-20.21088439304688</v>
      </c>
      <c r="F16" s="814">
        <f>'Exp. Verde'!D16+'Exp. Solúvel'!D16+'Exp. Torrado'!D16+'Exp. Extrato'!D16</f>
        <v>3633840.33</v>
      </c>
      <c r="G16" s="771">
        <f t="shared" si="7"/>
        <v>12.386684795553006</v>
      </c>
      <c r="H16" s="771">
        <f t="shared" si="4"/>
        <v>8.217259118166286</v>
      </c>
      <c r="I16" s="815">
        <f t="shared" si="0"/>
        <v>152.008676726861</v>
      </c>
      <c r="J16" s="771">
        <f t="shared" si="5"/>
        <v>-3.0675924337724036</v>
      </c>
      <c r="K16" s="771">
        <f t="shared" si="6"/>
        <v>-26.269509820214054</v>
      </c>
      <c r="L16" s="816">
        <f>'Exp. Verde'!F16+'Exp. Solúvel'!F16+'Exp. Torrado'!F16+'Exp. Extrato'!F16</f>
        <v>692294</v>
      </c>
      <c r="M16" s="771">
        <f>(L16/L15-1)*100</f>
        <v>12.696821238552648</v>
      </c>
      <c r="N16" s="816">
        <f>'Exp. Verde'!G16+'Exp. Solúvel'!G16+'Exp. Torrado'!G16+'Exp. Extrato'!G16</f>
        <v>3357912</v>
      </c>
      <c r="O16" s="771">
        <f>(N16/N15-1)*100</f>
        <v>8.334301366656582</v>
      </c>
      <c r="P16" s="770">
        <f>(L16*1000)/N16</f>
        <v>206.1679996378702</v>
      </c>
      <c r="Q16" s="771">
        <f>(P16/P15-1)*100</f>
        <v>4.0269054370241975</v>
      </c>
      <c r="R16" s="487"/>
    </row>
    <row r="17" spans="1:18" ht="12.75" customHeight="1">
      <c r="A17" s="486"/>
      <c r="B17" s="499" t="s">
        <v>134</v>
      </c>
      <c r="C17" s="793">
        <f>SUM(C7:C16)</f>
        <v>5160643.5879999995</v>
      </c>
      <c r="D17" s="794" t="s">
        <v>464</v>
      </c>
      <c r="E17" s="795">
        <f t="shared" si="3"/>
        <v>-3.8544728344181656</v>
      </c>
      <c r="F17" s="808">
        <f>SUM(F7:F16)</f>
        <v>30451681.317666665</v>
      </c>
      <c r="G17" s="809" t="s">
        <v>464</v>
      </c>
      <c r="H17" s="795">
        <f t="shared" si="4"/>
        <v>0.5935836863161903</v>
      </c>
      <c r="I17" s="796">
        <f t="shared" si="0"/>
        <v>169.46990657642382</v>
      </c>
      <c r="J17" s="810" t="s">
        <v>464</v>
      </c>
      <c r="K17" s="795">
        <f t="shared" si="6"/>
        <v>-4.421809381605135</v>
      </c>
      <c r="L17" s="808">
        <f>SUM(L7:L16)</f>
        <v>5367533.717</v>
      </c>
      <c r="M17" s="811">
        <f>(L17/C17-1)*100</f>
        <v>4.00899859624253</v>
      </c>
      <c r="N17" s="808">
        <f>SUM(N7:N16)</f>
        <v>30271991.71333333</v>
      </c>
      <c r="O17" s="771"/>
      <c r="P17" s="812">
        <f t="shared" si="1"/>
        <v>177.31022682051886</v>
      </c>
      <c r="Q17" s="813"/>
      <c r="R17" s="486"/>
    </row>
    <row r="18" spans="1:18" ht="14.25">
      <c r="A18" s="486"/>
      <c r="B18" s="104" t="s">
        <v>139</v>
      </c>
      <c r="C18" s="475">
        <v>0</v>
      </c>
      <c r="D18" s="475"/>
      <c r="E18" s="475"/>
      <c r="F18" s="475">
        <v>0</v>
      </c>
      <c r="G18" s="475"/>
      <c r="H18" s="475"/>
      <c r="I18" s="777">
        <v>0</v>
      </c>
      <c r="J18" s="753">
        <v>0</v>
      </c>
      <c r="K18" s="508">
        <v>0</v>
      </c>
      <c r="L18" s="497">
        <f>'Exp. Verde'!F18+'Exp. Solúvel'!F18+'Exp. Torrado'!F18+'Exp. Extrato'!F18</f>
        <v>613095</v>
      </c>
      <c r="M18" s="767">
        <f>(L18/L16-1)*100</f>
        <v>-11.440081814951453</v>
      </c>
      <c r="N18" s="781">
        <f>'Exp. Verde'!G18+'Exp. Solúvel'!G18+'Exp. Torrado'!G18+'Exp. Extrato'!G18</f>
        <v>3088319.666666667</v>
      </c>
      <c r="O18" s="767">
        <f>(N18/N16-1)*100</f>
        <v>-8.028570532322854</v>
      </c>
      <c r="P18" s="508">
        <f t="shared" si="1"/>
        <v>198.52057629181087</v>
      </c>
      <c r="Q18" s="767">
        <f>(P18/P16-1)*100</f>
        <v>-3.7093163631076953</v>
      </c>
      <c r="R18" s="486"/>
    </row>
    <row r="19" spans="1:18" ht="14.25">
      <c r="A19" s="486"/>
      <c r="B19" s="104" t="s">
        <v>140</v>
      </c>
      <c r="C19" s="475">
        <v>0</v>
      </c>
      <c r="D19" s="475"/>
      <c r="E19" s="475"/>
      <c r="F19" s="475">
        <v>0</v>
      </c>
      <c r="G19" s="475"/>
      <c r="H19" s="475"/>
      <c r="I19" s="778">
        <v>0</v>
      </c>
      <c r="J19" s="513">
        <v>0</v>
      </c>
      <c r="K19" s="483">
        <v>0</v>
      </c>
      <c r="L19" s="497">
        <f>'Exp. Verde'!F19+'Exp. Solúvel'!F19+'Exp. Torrado'!F19+'Exp. Extrato'!F19</f>
        <v>681229</v>
      </c>
      <c r="M19" s="767">
        <f>(L19/L18-1)*100</f>
        <v>11.11312276237777</v>
      </c>
      <c r="N19" s="781">
        <f>'Exp. Verde'!G19+'Exp. Solúvel'!G19+'Exp. Torrado'!G19+'Exp. Extrato'!G19</f>
        <v>3374846.333333333</v>
      </c>
      <c r="O19" s="767">
        <f>(N19/N18-1)*100</f>
        <v>9.277752875107147</v>
      </c>
      <c r="P19" s="483">
        <f t="shared" si="1"/>
        <v>201.85482025403826</v>
      </c>
      <c r="Q19" s="771">
        <f>(P19/P18-1)*100</f>
        <v>1.679545780345859</v>
      </c>
      <c r="R19" s="486"/>
    </row>
    <row r="20" spans="1:18" ht="14.25">
      <c r="A20" s="486"/>
      <c r="B20" s="499" t="s">
        <v>134</v>
      </c>
      <c r="C20" s="478">
        <v>0</v>
      </c>
      <c r="D20" s="478"/>
      <c r="E20" s="478"/>
      <c r="F20" s="478">
        <v>0</v>
      </c>
      <c r="G20" s="478"/>
      <c r="H20" s="478"/>
      <c r="I20" s="779">
        <v>0</v>
      </c>
      <c r="J20" s="770">
        <v>0</v>
      </c>
      <c r="K20" s="483">
        <v>0</v>
      </c>
      <c r="L20" s="775">
        <f>SUM(L18:L19)</f>
        <v>1294324</v>
      </c>
      <c r="M20" s="782">
        <v>0</v>
      </c>
      <c r="N20" s="782">
        <f>SUM(N18:N19)</f>
        <v>6463166</v>
      </c>
      <c r="O20" s="509">
        <v>0</v>
      </c>
      <c r="P20" s="481">
        <f t="shared" si="1"/>
        <v>200.26160553512008</v>
      </c>
      <c r="Q20" s="772">
        <v>0</v>
      </c>
      <c r="R20" s="486"/>
    </row>
    <row r="21" spans="1:18" ht="14.25">
      <c r="A21" s="486"/>
      <c r="B21" s="499" t="s">
        <v>120</v>
      </c>
      <c r="C21" s="482">
        <f>SUM(C17+C20)</f>
        <v>5160643.5879999995</v>
      </c>
      <c r="D21" s="476"/>
      <c r="E21" s="476"/>
      <c r="F21" s="476">
        <f>SUM(F17+F20)</f>
        <v>30451681.317666665</v>
      </c>
      <c r="G21" s="476"/>
      <c r="H21" s="476"/>
      <c r="I21" s="778">
        <f>(C21*1000)/F21</f>
        <v>169.46990657642382</v>
      </c>
      <c r="J21" s="770">
        <v>0</v>
      </c>
      <c r="K21" s="513">
        <v>0</v>
      </c>
      <c r="L21" s="775">
        <f>L17+L20</f>
        <v>6661857.717</v>
      </c>
      <c r="M21" s="775">
        <v>0</v>
      </c>
      <c r="N21" s="775">
        <f>N17+N20</f>
        <v>36735157.71333333</v>
      </c>
      <c r="O21" s="514">
        <v>0</v>
      </c>
      <c r="P21" s="484">
        <f t="shared" si="1"/>
        <v>181.34828136540227</v>
      </c>
      <c r="Q21" s="770">
        <v>0</v>
      </c>
      <c r="R21" s="486"/>
    </row>
    <row r="22" spans="1:18" ht="14.25">
      <c r="A22" s="486"/>
      <c r="B22" s="502" t="s">
        <v>121</v>
      </c>
      <c r="C22" s="503"/>
      <c r="D22" s="503"/>
      <c r="E22" s="503"/>
      <c r="F22" s="503"/>
      <c r="G22" s="503"/>
      <c r="H22" s="503"/>
      <c r="I22" s="150"/>
      <c r="J22" s="150"/>
      <c r="K22" s="150"/>
      <c r="L22" s="485"/>
      <c r="M22" s="485"/>
      <c r="N22" s="504"/>
      <c r="O22" s="504"/>
      <c r="P22" s="150"/>
      <c r="Q22" s="92"/>
      <c r="R22" s="486"/>
    </row>
    <row r="23" spans="1:18" ht="14.25">
      <c r="A23" s="486"/>
      <c r="B23" s="502" t="s">
        <v>387</v>
      </c>
      <c r="C23" s="503"/>
      <c r="D23" s="503"/>
      <c r="E23" s="503"/>
      <c r="F23" s="503"/>
      <c r="G23" s="503"/>
      <c r="H23" s="503"/>
      <c r="I23" s="150"/>
      <c r="J23" s="150"/>
      <c r="K23" s="150"/>
      <c r="L23" s="485" t="s">
        <v>141</v>
      </c>
      <c r="M23" s="485"/>
      <c r="N23" s="485" t="s">
        <v>465</v>
      </c>
      <c r="O23" s="504"/>
      <c r="P23" s="150"/>
      <c r="Q23" s="92"/>
      <c r="R23" s="486"/>
    </row>
    <row r="24" spans="1:18" ht="14.25">
      <c r="A24" s="486"/>
      <c r="B24" s="157"/>
      <c r="C24" s="503"/>
      <c r="D24" s="503"/>
      <c r="E24" s="503"/>
      <c r="F24" s="503"/>
      <c r="G24" s="503"/>
      <c r="H24" s="503"/>
      <c r="I24" s="150"/>
      <c r="J24" s="150"/>
      <c r="K24" s="150"/>
      <c r="L24" s="504"/>
      <c r="M24" s="504"/>
      <c r="N24" s="504"/>
      <c r="O24" s="504"/>
      <c r="P24" s="150"/>
      <c r="Q24" s="92"/>
      <c r="R24" s="486"/>
    </row>
    <row r="25" spans="1:18" ht="14.25">
      <c r="A25" s="486"/>
      <c r="B25" s="505"/>
      <c r="C25" s="503"/>
      <c r="D25" s="503"/>
      <c r="E25" s="503"/>
      <c r="F25" s="503"/>
      <c r="G25" s="503"/>
      <c r="H25" s="503"/>
      <c r="I25" s="158"/>
      <c r="J25" s="158"/>
      <c r="K25" s="158"/>
      <c r="L25" s="158"/>
      <c r="M25" s="158"/>
      <c r="N25" s="158"/>
      <c r="O25" s="158"/>
      <c r="P25" s="158"/>
      <c r="Q25" s="159"/>
      <c r="R25" s="486"/>
    </row>
    <row r="26" spans="1:18" ht="14.25">
      <c r="A26" s="486"/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92"/>
      <c r="R26" s="486"/>
    </row>
    <row r="27" spans="1:18" ht="14.25">
      <c r="A27" s="486"/>
      <c r="B27" s="155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92"/>
      <c r="R27" s="486"/>
    </row>
    <row r="28" spans="1:18" ht="14.25">
      <c r="A28" s="486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92"/>
      <c r="R28" s="486"/>
    </row>
    <row r="29" spans="1:18" ht="14.25">
      <c r="A29" s="486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92"/>
      <c r="R29" s="486"/>
    </row>
    <row r="30" spans="1:18" ht="14.25">
      <c r="A30" s="486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92"/>
      <c r="R30" s="486"/>
    </row>
    <row r="31" spans="1:18" ht="14.25">
      <c r="A31" s="486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92"/>
      <c r="R31" s="486"/>
    </row>
    <row r="32" spans="1:18" ht="14.25">
      <c r="A32" s="486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92"/>
      <c r="R32" s="486"/>
    </row>
    <row r="33" spans="1:18" ht="14.25">
      <c r="A33" s="486"/>
      <c r="B33" s="155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92"/>
      <c r="R33" s="486"/>
    </row>
    <row r="34" spans="1:18" ht="14.25">
      <c r="A34" s="486"/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92"/>
      <c r="R34" s="486"/>
    </row>
    <row r="35" spans="1:18" ht="14.25">
      <c r="A35" s="486"/>
      <c r="B35" s="506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07"/>
      <c r="R35" s="486"/>
    </row>
    <row r="36" spans="1:18" ht="14.25">
      <c r="A36" s="486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6"/>
    </row>
    <row r="37" spans="2:17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4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4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</sheetData>
  <sheetProtection/>
  <mergeCells count="11">
    <mergeCell ref="B2:P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0.8515625" style="0" customWidth="1"/>
    <col min="2" max="3" width="10.28125" style="0" bestFit="1" customWidth="1"/>
    <col min="4" max="4" width="9.28125" style="0" bestFit="1" customWidth="1"/>
    <col min="5" max="6" width="10.28125" style="0" bestFit="1" customWidth="1"/>
    <col min="7" max="7" width="9.28125" style="0" bestFit="1" customWidth="1"/>
    <col min="8" max="9" width="8.140625" style="0" bestFit="1" customWidth="1"/>
    <col min="10" max="10" width="8.8515625" style="0" bestFit="1" customWidth="1"/>
  </cols>
  <sheetData>
    <row r="1" spans="1:10" ht="15.75">
      <c r="A1" s="977" t="s">
        <v>146</v>
      </c>
      <c r="B1" s="977"/>
      <c r="C1" s="977"/>
      <c r="D1" s="977"/>
      <c r="E1" s="977"/>
      <c r="F1" s="977"/>
      <c r="G1" s="977"/>
      <c r="H1" s="977"/>
      <c r="I1" s="977"/>
      <c r="J1" s="977"/>
    </row>
    <row r="2" spans="1:10" ht="12.75">
      <c r="A2" s="466"/>
      <c r="B2" s="466"/>
      <c r="C2" s="466"/>
      <c r="D2" s="466"/>
      <c r="E2" s="466"/>
      <c r="F2" s="466"/>
      <c r="G2" s="467"/>
      <c r="H2" s="466"/>
      <c r="I2" s="466"/>
      <c r="J2" s="466"/>
    </row>
    <row r="3" spans="1:10" ht="12.75">
      <c r="A3" s="978" t="s">
        <v>89</v>
      </c>
      <c r="B3" s="980" t="s">
        <v>481</v>
      </c>
      <c r="C3" s="981"/>
      <c r="D3" s="981"/>
      <c r="E3" s="980" t="s">
        <v>482</v>
      </c>
      <c r="F3" s="981"/>
      <c r="G3" s="981"/>
      <c r="H3" s="982" t="s">
        <v>110</v>
      </c>
      <c r="I3" s="982"/>
      <c r="J3" s="983"/>
    </row>
    <row r="4" spans="1:10" ht="12.75">
      <c r="A4" s="979"/>
      <c r="B4" s="272" t="s">
        <v>111</v>
      </c>
      <c r="C4" s="272" t="s">
        <v>112</v>
      </c>
      <c r="D4" s="272" t="s">
        <v>113</v>
      </c>
      <c r="E4" s="272" t="s">
        <v>111</v>
      </c>
      <c r="F4" s="272" t="s">
        <v>112</v>
      </c>
      <c r="G4" s="272" t="s">
        <v>113</v>
      </c>
      <c r="H4" s="984" t="s">
        <v>306</v>
      </c>
      <c r="I4" s="984"/>
      <c r="J4" s="985"/>
    </row>
    <row r="5" spans="1:10" ht="12.75">
      <c r="A5" s="273"/>
      <c r="B5" s="274" t="s">
        <v>114</v>
      </c>
      <c r="C5" s="274" t="s">
        <v>147</v>
      </c>
      <c r="D5" s="276" t="s">
        <v>148</v>
      </c>
      <c r="E5" s="274" t="s">
        <v>114</v>
      </c>
      <c r="F5" s="274" t="s">
        <v>147</v>
      </c>
      <c r="G5" s="272" t="s">
        <v>148</v>
      </c>
      <c r="H5" s="274" t="s">
        <v>111</v>
      </c>
      <c r="I5" s="274" t="s">
        <v>112</v>
      </c>
      <c r="J5" s="277" t="s">
        <v>113</v>
      </c>
    </row>
    <row r="6" spans="1:10" ht="12.75">
      <c r="A6" s="22" t="s">
        <v>15</v>
      </c>
      <c r="B6" s="23">
        <f>Exportações!D11</f>
        <v>4644252.7</v>
      </c>
      <c r="C6" s="23">
        <v>1639463.96</v>
      </c>
      <c r="D6" s="24">
        <f>(B6*1000)/C6</f>
        <v>2832.7873093349367</v>
      </c>
      <c r="E6" s="23">
        <f>Exportações!G11</f>
        <v>4844935.717</v>
      </c>
      <c r="F6" s="23">
        <v>1631978.437</v>
      </c>
      <c r="G6" s="24">
        <f>(E6*1000)/F6</f>
        <v>2968.7498358778867</v>
      </c>
      <c r="H6" s="25">
        <f aca="true" t="shared" si="0" ref="H6:J10">SUM(B6-E6)*100/E6</f>
        <v>-4.14211929161082</v>
      </c>
      <c r="I6" s="25">
        <f t="shared" si="0"/>
        <v>0.4586778127877951</v>
      </c>
      <c r="J6" s="26">
        <f t="shared" si="0"/>
        <v>-4.57979062094818</v>
      </c>
    </row>
    <row r="7" spans="1:10" ht="12.75">
      <c r="A7" s="22" t="s">
        <v>117</v>
      </c>
      <c r="B7" s="23">
        <f>Exportações!D12</f>
        <v>475431.152</v>
      </c>
      <c r="C7" s="23">
        <v>65858.62</v>
      </c>
      <c r="D7" s="24">
        <f>(B7*1000)/C7</f>
        <v>7218.96620366476</v>
      </c>
      <c r="E7" s="23">
        <f>Exportações!G12</f>
        <v>471821</v>
      </c>
      <c r="F7" s="23">
        <v>63257.161</v>
      </c>
      <c r="G7" s="24">
        <f>(E7*1000)/F7</f>
        <v>7458.776090188429</v>
      </c>
      <c r="H7" s="25">
        <f t="shared" si="0"/>
        <v>0.7651528863700433</v>
      </c>
      <c r="I7" s="25">
        <f t="shared" si="0"/>
        <v>4.112513048127461</v>
      </c>
      <c r="J7" s="26">
        <f t="shared" si="0"/>
        <v>-3.2151372239089633</v>
      </c>
    </row>
    <row r="8" spans="1:10" ht="12.75">
      <c r="A8" s="22" t="s">
        <v>118</v>
      </c>
      <c r="B8" s="23">
        <f>Exportações!D13</f>
        <v>8768.96</v>
      </c>
      <c r="C8" s="751">
        <v>1464.82</v>
      </c>
      <c r="D8" s="24">
        <f>(B8*1000)/C8</f>
        <v>5986.373752406439</v>
      </c>
      <c r="E8" s="23">
        <f>Exportações!G13</f>
        <v>10560</v>
      </c>
      <c r="F8" s="23">
        <v>1421.535</v>
      </c>
      <c r="G8" s="24">
        <f>(E8*1000)/F8</f>
        <v>7428.589517669279</v>
      </c>
      <c r="H8" s="25">
        <f t="shared" si="0"/>
        <v>-16.960606060606068</v>
      </c>
      <c r="I8" s="25">
        <f t="shared" si="0"/>
        <v>3.044947890836304</v>
      </c>
      <c r="J8" s="26">
        <f t="shared" si="0"/>
        <v>-19.41439571849348</v>
      </c>
    </row>
    <row r="9" spans="1:10" ht="12.75">
      <c r="A9" s="27" t="s">
        <v>119</v>
      </c>
      <c r="B9" s="23">
        <f>Exportações!D14</f>
        <v>32190.776</v>
      </c>
      <c r="C9" s="751">
        <v>5638.9784</v>
      </c>
      <c r="D9" s="24">
        <f>(B9*1000)/C9</f>
        <v>5708.618426344744</v>
      </c>
      <c r="E9" s="23">
        <f>Exportações!G14</f>
        <v>40217</v>
      </c>
      <c r="F9" s="23">
        <v>6992.618</v>
      </c>
      <c r="G9" s="24">
        <f>(E9*1000)/F9</f>
        <v>5751.350924646534</v>
      </c>
      <c r="H9" s="25">
        <f t="shared" si="0"/>
        <v>-19.957291692567814</v>
      </c>
      <c r="I9" s="25">
        <f t="shared" si="0"/>
        <v>-19.358123094955285</v>
      </c>
      <c r="J9" s="26">
        <f t="shared" si="0"/>
        <v>-0.7429993207103077</v>
      </c>
    </row>
    <row r="10" spans="1:10" ht="12.75">
      <c r="A10" s="27" t="s">
        <v>307</v>
      </c>
      <c r="B10" s="23">
        <v>87.376</v>
      </c>
      <c r="C10" s="23">
        <v>31.375</v>
      </c>
      <c r="D10" s="24">
        <f>(B10*1000)/C10</f>
        <v>2784.8924302788846</v>
      </c>
      <c r="E10" s="23">
        <v>1.541</v>
      </c>
      <c r="F10" s="23">
        <v>14.34</v>
      </c>
      <c r="G10" s="24">
        <f>(E10*1000)/F10</f>
        <v>107.46164574616458</v>
      </c>
      <c r="H10" s="25">
        <f t="shared" si="0"/>
        <v>5570.0843608046725</v>
      </c>
      <c r="I10" s="25">
        <f t="shared" si="0"/>
        <v>118.79358437935844</v>
      </c>
      <c r="J10" s="26">
        <f t="shared" si="0"/>
        <v>2491.5222225956654</v>
      </c>
    </row>
    <row r="11" spans="1:10" ht="12.75">
      <c r="A11" s="278" t="s">
        <v>120</v>
      </c>
      <c r="B11" s="279">
        <f>SUM(B6:B10)</f>
        <v>5160730.964</v>
      </c>
      <c r="C11" s="279">
        <f>SUM(C6:C10)</f>
        <v>1712457.7534</v>
      </c>
      <c r="D11" s="280">
        <v>0</v>
      </c>
      <c r="E11" s="279">
        <f>SUM(E6:E10)</f>
        <v>5367535.258</v>
      </c>
      <c r="F11" s="279">
        <f>SUM(F6:F10)</f>
        <v>1703664.091</v>
      </c>
      <c r="G11" s="280">
        <v>0</v>
      </c>
      <c r="H11" s="281">
        <f>SUM(B11-E11)*100/E11</f>
        <v>-3.852872576696555</v>
      </c>
      <c r="I11" s="281">
        <f>SUM(C11-F11)*100/F11</f>
        <v>0.5161617508084245</v>
      </c>
      <c r="J11" s="282">
        <v>0</v>
      </c>
    </row>
    <row r="12" spans="1:10" ht="12.75">
      <c r="A12" s="283" t="s">
        <v>121</v>
      </c>
      <c r="B12" s="9"/>
      <c r="C12" s="9"/>
      <c r="D12" s="9"/>
      <c r="E12" s="9"/>
      <c r="F12" s="9"/>
      <c r="G12" s="28"/>
      <c r="H12" s="9"/>
      <c r="I12" s="9"/>
      <c r="J12" s="9"/>
    </row>
    <row r="13" spans="1:10" ht="12.75">
      <c r="A13" s="275" t="s">
        <v>387</v>
      </c>
      <c r="B13" s="9"/>
      <c r="C13" s="9"/>
      <c r="D13" s="9"/>
      <c r="E13" s="9"/>
      <c r="F13" s="9"/>
      <c r="G13" s="28"/>
      <c r="H13" s="9"/>
      <c r="I13" s="9"/>
      <c r="J13" s="9"/>
    </row>
    <row r="14" spans="1:10" ht="12.75">
      <c r="A14" s="29" t="s">
        <v>149</v>
      </c>
      <c r="B14" s="9"/>
      <c r="C14" s="9"/>
      <c r="D14" s="9"/>
      <c r="E14" s="9"/>
      <c r="F14" s="9"/>
      <c r="G14" s="28"/>
      <c r="H14" s="9"/>
      <c r="I14" s="9"/>
      <c r="J14" s="9"/>
    </row>
    <row r="15" spans="1:10" ht="12.75">
      <c r="A15" s="29" t="s">
        <v>150</v>
      </c>
      <c r="B15" s="9"/>
      <c r="C15" s="9"/>
      <c r="D15" s="9"/>
      <c r="E15" s="9"/>
      <c r="F15" s="9"/>
      <c r="G15" s="28"/>
      <c r="H15" s="9"/>
      <c r="I15" s="9"/>
      <c r="J15" s="9"/>
    </row>
    <row r="16" spans="1:10" ht="12.75">
      <c r="A16" s="29" t="s">
        <v>151</v>
      </c>
      <c r="B16" s="9"/>
      <c r="C16" s="9"/>
      <c r="D16" s="9"/>
      <c r="E16" s="9"/>
      <c r="F16" s="9"/>
      <c r="G16" s="28"/>
      <c r="H16" s="9"/>
      <c r="I16" s="9"/>
      <c r="J16" s="9"/>
    </row>
    <row r="17" spans="1:10" ht="12.75">
      <c r="A17" s="29" t="s">
        <v>489</v>
      </c>
      <c r="B17" s="9"/>
      <c r="C17" s="9"/>
      <c r="D17" s="9"/>
      <c r="E17" s="9"/>
      <c r="F17" s="9"/>
      <c r="G17" s="28"/>
      <c r="H17" s="9"/>
      <c r="I17" s="9"/>
      <c r="J17" s="9"/>
    </row>
    <row r="18" spans="1:10" ht="12.75">
      <c r="A18" s="29"/>
      <c r="B18" s="9"/>
      <c r="C18" s="9"/>
      <c r="D18" s="9"/>
      <c r="E18" s="9"/>
      <c r="F18" s="9"/>
      <c r="G18" s="28"/>
      <c r="H18" s="9"/>
      <c r="I18" s="9"/>
      <c r="J18" s="9"/>
    </row>
    <row r="19" spans="1:10" ht="12.75">
      <c r="A19" s="986" t="s">
        <v>152</v>
      </c>
      <c r="B19" s="986"/>
      <c r="C19" s="986"/>
      <c r="D19" s="986"/>
      <c r="E19" s="986"/>
      <c r="F19" s="986"/>
      <c r="G19" s="986"/>
      <c r="H19" s="986"/>
      <c r="I19" s="986"/>
      <c r="J19" s="986"/>
    </row>
    <row r="20" spans="1:10" ht="12.75">
      <c r="A20" s="986" t="s">
        <v>388</v>
      </c>
      <c r="B20" s="986"/>
      <c r="C20" s="986"/>
      <c r="D20" s="986"/>
      <c r="E20" s="986"/>
      <c r="F20" s="986"/>
      <c r="G20" s="986"/>
      <c r="H20" s="986"/>
      <c r="I20" s="986"/>
      <c r="J20" s="986"/>
    </row>
    <row r="21" spans="1:10" ht="12.75">
      <c r="A21" s="284"/>
      <c r="B21" s="284"/>
      <c r="C21" s="284"/>
      <c r="D21" s="284"/>
      <c r="E21" s="284"/>
      <c r="F21" s="284"/>
      <c r="G21" s="285"/>
      <c r="H21" s="284"/>
      <c r="I21" s="284"/>
      <c r="J21" s="284"/>
    </row>
    <row r="22" spans="1:10" ht="12.75">
      <c r="A22" s="987" t="s">
        <v>153</v>
      </c>
      <c r="B22" s="988"/>
      <c r="C22" s="988"/>
      <c r="D22" s="284"/>
      <c r="E22" s="284"/>
      <c r="F22" s="284"/>
      <c r="G22" s="285"/>
      <c r="H22" s="284"/>
      <c r="I22" s="284"/>
      <c r="J22" s="284"/>
    </row>
    <row r="23" spans="1:10" ht="12.75">
      <c r="A23" s="9"/>
      <c r="B23" s="9"/>
      <c r="C23" s="9"/>
      <c r="D23" s="9"/>
      <c r="E23" s="9"/>
      <c r="F23" s="9"/>
      <c r="G23" s="28"/>
      <c r="H23" s="9"/>
      <c r="I23" s="9"/>
      <c r="J23" s="9"/>
    </row>
    <row r="24" spans="1:10" ht="12.75">
      <c r="A24" s="978" t="s">
        <v>154</v>
      </c>
      <c r="B24" s="990" t="str">
        <f>B3</f>
        <v>Jan a Out/2015</v>
      </c>
      <c r="C24" s="984"/>
      <c r="D24" s="984"/>
      <c r="E24" s="990" t="str">
        <f>E3</f>
        <v>Jan a Out/2014</v>
      </c>
      <c r="F24" s="984"/>
      <c r="G24" s="984"/>
      <c r="H24" s="982" t="s">
        <v>110</v>
      </c>
      <c r="I24" s="982"/>
      <c r="J24" s="983"/>
    </row>
    <row r="25" spans="1:10" ht="12.75">
      <c r="A25" s="989"/>
      <c r="B25" s="286" t="s">
        <v>111</v>
      </c>
      <c r="C25" s="274" t="s">
        <v>155</v>
      </c>
      <c r="D25" s="276" t="s">
        <v>113</v>
      </c>
      <c r="E25" s="274" t="s">
        <v>111</v>
      </c>
      <c r="F25" s="274" t="s">
        <v>155</v>
      </c>
      <c r="G25" s="272" t="s">
        <v>113</v>
      </c>
      <c r="H25" s="982" t="str">
        <f>H4</f>
        <v>(15/14)</v>
      </c>
      <c r="I25" s="982"/>
      <c r="J25" s="983"/>
    </row>
    <row r="26" spans="1:10" ht="12.75">
      <c r="A26" s="287"/>
      <c r="B26" s="288" t="s">
        <v>156</v>
      </c>
      <c r="C26" s="289" t="s">
        <v>147</v>
      </c>
      <c r="D26" s="290" t="s">
        <v>148</v>
      </c>
      <c r="E26" s="288" t="s">
        <v>156</v>
      </c>
      <c r="F26" s="289" t="s">
        <v>147</v>
      </c>
      <c r="G26" s="291" t="s">
        <v>148</v>
      </c>
      <c r="H26" s="289" t="s">
        <v>111</v>
      </c>
      <c r="I26" s="289" t="s">
        <v>112</v>
      </c>
      <c r="J26" s="292" t="s">
        <v>113</v>
      </c>
    </row>
    <row r="27" spans="1:10" ht="12.75">
      <c r="A27" s="22" t="s">
        <v>389</v>
      </c>
      <c r="B27" s="23">
        <v>2447551.228</v>
      </c>
      <c r="C27" s="23">
        <v>854259.497</v>
      </c>
      <c r="D27" s="30">
        <f aca="true" t="shared" si="1" ref="D27:D44">(B27*1000)/C27</f>
        <v>2865.114448941268</v>
      </c>
      <c r="E27" s="23">
        <v>2672160.327</v>
      </c>
      <c r="F27" s="23">
        <v>878665.553</v>
      </c>
      <c r="G27" s="30">
        <f aca="true" t="shared" si="2" ref="G27:G44">(E27*1000)/F27</f>
        <v>3041.1574891908845</v>
      </c>
      <c r="H27" s="25">
        <f aca="true" t="shared" si="3" ref="H27:H44">SUM(B27-E27)*100/E27</f>
        <v>-8.40552480068311</v>
      </c>
      <c r="I27" s="25">
        <f aca="true" t="shared" si="4" ref="I27:I44">SUM(C27-F27)*100/F27</f>
        <v>-2.777627496226654</v>
      </c>
      <c r="J27" s="26">
        <f aca="true" t="shared" si="5" ref="J27:J44">SUM(D27-G27)*100/G27</f>
        <v>-5.788685422419655</v>
      </c>
    </row>
    <row r="28" spans="1:10" ht="12.75">
      <c r="A28" s="22" t="s">
        <v>312</v>
      </c>
      <c r="B28" s="23">
        <v>986598.916</v>
      </c>
      <c r="C28" s="23">
        <v>360347.05</v>
      </c>
      <c r="D28" s="30">
        <f t="shared" si="1"/>
        <v>2737.913120143484</v>
      </c>
      <c r="E28" s="23">
        <v>989656.083</v>
      </c>
      <c r="F28" s="23">
        <v>340735.075</v>
      </c>
      <c r="G28" s="30">
        <f t="shared" si="2"/>
        <v>2904.4737557470417</v>
      </c>
      <c r="H28" s="25">
        <f t="shared" si="3"/>
        <v>-0.30891206071635047</v>
      </c>
      <c r="I28" s="25">
        <f t="shared" si="4"/>
        <v>5.755784020767447</v>
      </c>
      <c r="J28" s="26">
        <f t="shared" si="5"/>
        <v>-5.734623536328623</v>
      </c>
    </row>
    <row r="29" spans="1:10" ht="12.75">
      <c r="A29" s="22" t="s">
        <v>313</v>
      </c>
      <c r="B29" s="23">
        <v>353994.06</v>
      </c>
      <c r="C29" s="23">
        <v>103538.587</v>
      </c>
      <c r="D29" s="30">
        <f t="shared" si="1"/>
        <v>3418.957803625425</v>
      </c>
      <c r="E29" s="23">
        <v>369758.147</v>
      </c>
      <c r="F29" s="23">
        <v>109627.332</v>
      </c>
      <c r="G29" s="30">
        <f t="shared" si="2"/>
        <v>3372.8645973068105</v>
      </c>
      <c r="H29" s="25">
        <f t="shared" si="3"/>
        <v>-4.263350822125361</v>
      </c>
      <c r="I29" s="25">
        <f t="shared" si="4"/>
        <v>-5.55403920620817</v>
      </c>
      <c r="J29" s="26">
        <f t="shared" si="5"/>
        <v>1.3665892889806335</v>
      </c>
    </row>
    <row r="30" spans="1:10" ht="12.75">
      <c r="A30" s="22" t="s">
        <v>314</v>
      </c>
      <c r="B30" s="23">
        <v>117474.017</v>
      </c>
      <c r="C30" s="23">
        <v>34107.223</v>
      </c>
      <c r="D30" s="30">
        <f t="shared" si="1"/>
        <v>3444.25627967425</v>
      </c>
      <c r="E30" s="23">
        <v>113650.57</v>
      </c>
      <c r="F30" s="23">
        <v>36332.46</v>
      </c>
      <c r="G30" s="30">
        <f t="shared" si="2"/>
        <v>3128.0725279818653</v>
      </c>
      <c r="H30" s="25">
        <f t="shared" si="3"/>
        <v>3.3642127795751486</v>
      </c>
      <c r="I30" s="25">
        <f t="shared" si="4"/>
        <v>-6.124652721010361</v>
      </c>
      <c r="J30" s="26">
        <f t="shared" si="5"/>
        <v>10.107941835235405</v>
      </c>
    </row>
    <row r="31" spans="1:10" ht="12.75">
      <c r="A31" s="22" t="s">
        <v>315</v>
      </c>
      <c r="B31" s="23">
        <v>96627.069</v>
      </c>
      <c r="C31" s="23">
        <v>39649.359</v>
      </c>
      <c r="D31" s="30">
        <f t="shared" si="1"/>
        <v>2437.0398774920927</v>
      </c>
      <c r="E31" s="23">
        <v>69822.163</v>
      </c>
      <c r="F31" s="23">
        <v>29121.62</v>
      </c>
      <c r="G31" s="30">
        <f t="shared" si="2"/>
        <v>2397.6057307251453</v>
      </c>
      <c r="H31" s="25">
        <f t="shared" si="3"/>
        <v>38.39025439529853</v>
      </c>
      <c r="I31" s="25">
        <f t="shared" si="4"/>
        <v>36.15093871838173</v>
      </c>
      <c r="J31" s="26">
        <f t="shared" si="5"/>
        <v>1.6447302515839706</v>
      </c>
    </row>
    <row r="32" spans="1:10" ht="12.75">
      <c r="A32" s="22" t="s">
        <v>328</v>
      </c>
      <c r="B32" s="23">
        <v>78589.591</v>
      </c>
      <c r="C32" s="23">
        <v>37502.778</v>
      </c>
      <c r="D32" s="30">
        <f t="shared" si="1"/>
        <v>2095.5671870494502</v>
      </c>
      <c r="E32" s="23">
        <v>93245.783</v>
      </c>
      <c r="F32" s="23">
        <v>37894.924</v>
      </c>
      <c r="G32" s="30">
        <f t="shared" si="2"/>
        <v>2460.640454114646</v>
      </c>
      <c r="H32" s="25">
        <f t="shared" si="3"/>
        <v>-15.717806777385306</v>
      </c>
      <c r="I32" s="25">
        <f t="shared" si="4"/>
        <v>-1.034824611338449</v>
      </c>
      <c r="J32" s="26">
        <f t="shared" si="5"/>
        <v>-14.83651406505676</v>
      </c>
    </row>
    <row r="33" spans="1:10" ht="12.75">
      <c r="A33" s="22" t="s">
        <v>319</v>
      </c>
      <c r="B33" s="23">
        <v>57529.442</v>
      </c>
      <c r="C33" s="23">
        <v>24539.742</v>
      </c>
      <c r="D33" s="30">
        <f>(B33*1000)/C33</f>
        <v>2344.3376870058373</v>
      </c>
      <c r="E33" s="23">
        <v>47175.337</v>
      </c>
      <c r="F33" s="23">
        <v>20596.72</v>
      </c>
      <c r="G33" s="30">
        <f>(E33*1000)/F33</f>
        <v>2290.429592673008</v>
      </c>
      <c r="H33" s="25">
        <f aca="true" t="shared" si="6" ref="H33:J35">SUM(B33-E33)*100/E33</f>
        <v>21.9481314993044</v>
      </c>
      <c r="I33" s="25">
        <f t="shared" si="6"/>
        <v>19.143931655137308</v>
      </c>
      <c r="J33" s="26">
        <f t="shared" si="6"/>
        <v>2.3536237265393054</v>
      </c>
    </row>
    <row r="34" spans="1:10" ht="12.75">
      <c r="A34" s="22" t="s">
        <v>391</v>
      </c>
      <c r="B34" s="23">
        <v>56301.575</v>
      </c>
      <c r="C34" s="23">
        <v>20427.124</v>
      </c>
      <c r="D34" s="30">
        <f>(B34*1000)/C34</f>
        <v>2756.2164404543682</v>
      </c>
      <c r="E34" s="23">
        <v>72117.336</v>
      </c>
      <c r="F34" s="23">
        <v>23219.899</v>
      </c>
      <c r="G34" s="30">
        <f>(E34*1000)/F34</f>
        <v>3105.8419332487188</v>
      </c>
      <c r="H34" s="25">
        <f t="shared" si="6"/>
        <v>-21.93059516230605</v>
      </c>
      <c r="I34" s="25">
        <f t="shared" si="6"/>
        <v>-12.027507096391767</v>
      </c>
      <c r="J34" s="26">
        <f t="shared" si="6"/>
        <v>-11.257027894804722</v>
      </c>
    </row>
    <row r="35" spans="1:10" ht="12.75">
      <c r="A35" s="22" t="s">
        <v>390</v>
      </c>
      <c r="B35" s="23">
        <v>55849.587</v>
      </c>
      <c r="C35" s="23">
        <v>19675.378</v>
      </c>
      <c r="D35" s="30">
        <f>(B35*1000)/C35</f>
        <v>2838.5521741945695</v>
      </c>
      <c r="E35" s="23">
        <v>66021.478</v>
      </c>
      <c r="F35" s="23">
        <v>20907.657</v>
      </c>
      <c r="G35" s="30">
        <f>(E35*1000)/F35</f>
        <v>3157.7655018924406</v>
      </c>
      <c r="H35" s="25">
        <f t="shared" si="6"/>
        <v>-15.406942268090397</v>
      </c>
      <c r="I35" s="25">
        <f t="shared" si="6"/>
        <v>-5.89391245513545</v>
      </c>
      <c r="J35" s="26">
        <f t="shared" si="6"/>
        <v>-10.108835741810703</v>
      </c>
    </row>
    <row r="36" spans="1:10" ht="12.75">
      <c r="A36" s="22" t="s">
        <v>392</v>
      </c>
      <c r="B36" s="23">
        <v>55666.341</v>
      </c>
      <c r="C36" s="23">
        <v>16490.5</v>
      </c>
      <c r="D36" s="30">
        <f>(B36*1000)/C36</f>
        <v>3375.661198872078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5">
        <v>0</v>
      </c>
    </row>
    <row r="37" spans="1:10" ht="12.75">
      <c r="A37" s="22" t="s">
        <v>393</v>
      </c>
      <c r="B37" s="23">
        <v>48189.017</v>
      </c>
      <c r="C37" s="23">
        <v>20133.62</v>
      </c>
      <c r="D37" s="30">
        <f t="shared" si="1"/>
        <v>2393.4601427860466</v>
      </c>
      <c r="E37" s="23">
        <v>41509.927</v>
      </c>
      <c r="F37" s="23">
        <v>19785.6</v>
      </c>
      <c r="G37" s="30">
        <f t="shared" si="2"/>
        <v>2097.9867681546175</v>
      </c>
      <c r="H37" s="25">
        <f t="shared" si="3"/>
        <v>16.09034388328362</v>
      </c>
      <c r="I37" s="25">
        <f t="shared" si="4"/>
        <v>1.7589560084101592</v>
      </c>
      <c r="J37" s="26">
        <f t="shared" si="5"/>
        <v>14.083662448039487</v>
      </c>
    </row>
    <row r="38" spans="1:10" ht="12.75">
      <c r="A38" s="22" t="s">
        <v>395</v>
      </c>
      <c r="B38" s="23">
        <v>36175.857</v>
      </c>
      <c r="C38" s="23">
        <v>11036.909</v>
      </c>
      <c r="D38" s="30">
        <f>(B38*1000)/C38</f>
        <v>3277.716342501329</v>
      </c>
      <c r="E38" s="23">
        <v>36674.293</v>
      </c>
      <c r="F38" s="23">
        <v>9609.727</v>
      </c>
      <c r="G38" s="30">
        <f>(E38*1000)/F38</f>
        <v>3816.371994750735</v>
      </c>
      <c r="H38" s="25">
        <f>SUM(B38-E38)*100/E38</f>
        <v>-1.3590882310941734</v>
      </c>
      <c r="I38" s="25">
        <f>SUM(C38-F38)*100/F38</f>
        <v>14.851431263343889</v>
      </c>
      <c r="J38" s="26">
        <f>SUM(D38-G38)*100/G38</f>
        <v>-14.11433825083889</v>
      </c>
    </row>
    <row r="39" spans="1:10" ht="12.75">
      <c r="A39" s="22" t="s">
        <v>394</v>
      </c>
      <c r="B39" s="23">
        <v>35700.181</v>
      </c>
      <c r="C39" s="23">
        <v>12185.205</v>
      </c>
      <c r="D39" s="30">
        <f t="shared" si="1"/>
        <v>2929.797323885811</v>
      </c>
      <c r="E39" s="23">
        <v>38696.865</v>
      </c>
      <c r="F39" s="23">
        <v>11389.44</v>
      </c>
      <c r="G39" s="30">
        <f t="shared" si="2"/>
        <v>3397.609101062036</v>
      </c>
      <c r="H39" s="25">
        <f t="shared" si="3"/>
        <v>-7.7439968328183735</v>
      </c>
      <c r="I39" s="25">
        <f t="shared" si="4"/>
        <v>6.986866781861087</v>
      </c>
      <c r="J39" s="26">
        <f t="shared" si="5"/>
        <v>-13.76885225054275</v>
      </c>
    </row>
    <row r="40" spans="1:10" ht="12.75">
      <c r="A40" s="22" t="s">
        <v>396</v>
      </c>
      <c r="B40" s="23">
        <v>32023.233</v>
      </c>
      <c r="C40" s="23">
        <v>14357.846</v>
      </c>
      <c r="D40" s="30">
        <f t="shared" si="1"/>
        <v>2230.364707909529</v>
      </c>
      <c r="E40" s="23">
        <v>36336.005</v>
      </c>
      <c r="F40" s="23">
        <v>16394.4</v>
      </c>
      <c r="G40" s="30">
        <f>(E40*1000)/F40</f>
        <v>2216.36686917484</v>
      </c>
      <c r="H40" s="25">
        <f>SUM(B40-E40)*100/E40</f>
        <v>-11.869141915849024</v>
      </c>
      <c r="I40" s="25">
        <f>SUM(C40-F40)*100/F40</f>
        <v>-12.422253940369893</v>
      </c>
      <c r="J40" s="26">
        <f>SUM(D40-G40)*100/G40</f>
        <v>0.63156686419431</v>
      </c>
    </row>
    <row r="41" spans="1:10" ht="12.75">
      <c r="A41" s="22" t="s">
        <v>320</v>
      </c>
      <c r="B41" s="23">
        <v>19813.5</v>
      </c>
      <c r="C41" s="23">
        <v>8758.1</v>
      </c>
      <c r="D41" s="30">
        <f t="shared" si="1"/>
        <v>2262.3057512474165</v>
      </c>
      <c r="E41" s="23">
        <v>13727.663</v>
      </c>
      <c r="F41" s="23">
        <v>6289.71</v>
      </c>
      <c r="G41" s="30">
        <f t="shared" si="2"/>
        <v>2182.558973307195</v>
      </c>
      <c r="H41" s="25">
        <f t="shared" si="3"/>
        <v>44.33265152269544</v>
      </c>
      <c r="I41" s="25">
        <f t="shared" si="4"/>
        <v>39.24489364374511</v>
      </c>
      <c r="J41" s="26">
        <f t="shared" si="5"/>
        <v>3.6538200761367015</v>
      </c>
    </row>
    <row r="42" spans="1:10" ht="12.75">
      <c r="A42" s="293" t="s">
        <v>134</v>
      </c>
      <c r="B42" s="294">
        <f>SUM(B27:B41)</f>
        <v>4478083.614</v>
      </c>
      <c r="C42" s="294">
        <f>SUM(C27:C41)</f>
        <v>1577008.9180000003</v>
      </c>
      <c r="D42" s="295">
        <f t="shared" si="1"/>
        <v>2839.605764360046</v>
      </c>
      <c r="E42" s="294">
        <f>SUM(E27:E41)</f>
        <v>4660551.977</v>
      </c>
      <c r="F42" s="294">
        <f>SUM(F27:F41)</f>
        <v>1560570.1169999999</v>
      </c>
      <c r="G42" s="295">
        <f t="shared" si="2"/>
        <v>2986.4418946835444</v>
      </c>
      <c r="H42" s="296">
        <f t="shared" si="3"/>
        <v>-3.915166355841286</v>
      </c>
      <c r="I42" s="296">
        <f t="shared" si="4"/>
        <v>1.0533843254413955</v>
      </c>
      <c r="J42" s="297">
        <f t="shared" si="5"/>
        <v>-4.916758319821845</v>
      </c>
    </row>
    <row r="43" spans="1:10" ht="12.75">
      <c r="A43" s="31" t="s">
        <v>157</v>
      </c>
      <c r="B43" s="32">
        <f>B44-B42</f>
        <v>166169.08600000013</v>
      </c>
      <c r="C43" s="32">
        <f>C44-C42</f>
        <v>62455.04199999967</v>
      </c>
      <c r="D43" s="30">
        <f t="shared" si="1"/>
        <v>2660.6192339123077</v>
      </c>
      <c r="E43" s="32">
        <f>E44-E42</f>
        <v>184383.74000000022</v>
      </c>
      <c r="F43" s="32">
        <f>F44-F42</f>
        <v>71408.32000000007</v>
      </c>
      <c r="G43" s="30">
        <f t="shared" si="2"/>
        <v>2582.1044382503337</v>
      </c>
      <c r="H43" s="25">
        <f t="shared" si="3"/>
        <v>-9.878666090621698</v>
      </c>
      <c r="I43" s="25">
        <f t="shared" si="4"/>
        <v>-12.538144014591564</v>
      </c>
      <c r="J43" s="26">
        <f t="shared" si="5"/>
        <v>3.040728891476464</v>
      </c>
    </row>
    <row r="44" spans="1:10" ht="12.75">
      <c r="A44" s="298" t="s">
        <v>158</v>
      </c>
      <c r="B44" s="299">
        <f>B6</f>
        <v>4644252.7</v>
      </c>
      <c r="C44" s="271">
        <f>C6</f>
        <v>1639463.96</v>
      </c>
      <c r="D44" s="300">
        <f t="shared" si="1"/>
        <v>2832.7873093349367</v>
      </c>
      <c r="E44" s="271">
        <f>E6</f>
        <v>4844935.717</v>
      </c>
      <c r="F44" s="271">
        <f>F6</f>
        <v>1631978.437</v>
      </c>
      <c r="G44" s="300">
        <f t="shared" si="2"/>
        <v>2968.7498358778867</v>
      </c>
      <c r="H44" s="281">
        <f t="shared" si="3"/>
        <v>-4.14211929161082</v>
      </c>
      <c r="I44" s="281">
        <f t="shared" si="4"/>
        <v>0.4586778127877951</v>
      </c>
      <c r="J44" s="301">
        <f t="shared" si="5"/>
        <v>-4.57979062094818</v>
      </c>
    </row>
    <row r="45" spans="1:10" ht="12.75">
      <c r="A45" s="283" t="s">
        <v>121</v>
      </c>
      <c r="B45" s="9"/>
      <c r="C45" s="9"/>
      <c r="D45" s="9"/>
      <c r="E45" s="9"/>
      <c r="F45" s="9"/>
      <c r="G45" s="28"/>
      <c r="H45" s="9"/>
      <c r="I45" s="9"/>
      <c r="J45" s="9"/>
    </row>
    <row r="46" spans="1:10" ht="12.75">
      <c r="A46" s="986" t="s">
        <v>159</v>
      </c>
      <c r="B46" s="986"/>
      <c r="C46" s="986"/>
      <c r="D46" s="986"/>
      <c r="E46" s="986"/>
      <c r="F46" s="986"/>
      <c r="G46" s="986"/>
      <c r="H46" s="986"/>
      <c r="I46" s="986"/>
      <c r="J46" s="986"/>
    </row>
    <row r="47" spans="1:10" ht="12.75">
      <c r="A47" s="986" t="s">
        <v>388</v>
      </c>
      <c r="B47" s="986"/>
      <c r="C47" s="986"/>
      <c r="D47" s="986"/>
      <c r="E47" s="986"/>
      <c r="F47" s="986"/>
      <c r="G47" s="986"/>
      <c r="H47" s="986"/>
      <c r="I47" s="986"/>
      <c r="J47" s="986"/>
    </row>
    <row r="48" spans="1:10" ht="12.75">
      <c r="A48" s="284"/>
      <c r="B48" s="284"/>
      <c r="C48" s="284"/>
      <c r="D48" s="284"/>
      <c r="E48" s="284"/>
      <c r="F48" s="284"/>
      <c r="G48" s="285"/>
      <c r="H48" s="284"/>
      <c r="I48" s="284"/>
      <c r="J48" s="284"/>
    </row>
    <row r="49" spans="1:10" ht="12.75">
      <c r="A49" s="987" t="s">
        <v>160</v>
      </c>
      <c r="B49" s="988"/>
      <c r="C49" s="988"/>
      <c r="D49" s="284"/>
      <c r="E49" s="284"/>
      <c r="F49" s="284"/>
      <c r="G49" s="285"/>
      <c r="H49" s="284"/>
      <c r="I49" s="284"/>
      <c r="J49" s="284"/>
    </row>
    <row r="50" spans="1:10" ht="12.75">
      <c r="A50" s="9"/>
      <c r="B50" s="9"/>
      <c r="C50" s="9"/>
      <c r="D50" s="9"/>
      <c r="E50" s="9"/>
      <c r="F50" s="9"/>
      <c r="G50" s="28"/>
      <c r="H50" s="9"/>
      <c r="I50" s="9"/>
      <c r="J50" s="9"/>
    </row>
    <row r="51" spans="1:10" ht="12.75">
      <c r="A51" s="978" t="s">
        <v>154</v>
      </c>
      <c r="B51" s="990" t="str">
        <f>B3</f>
        <v>Jan a Out/2015</v>
      </c>
      <c r="C51" s="984"/>
      <c r="D51" s="984"/>
      <c r="E51" s="990" t="str">
        <f>E3</f>
        <v>Jan a Out/2014</v>
      </c>
      <c r="F51" s="984"/>
      <c r="G51" s="984"/>
      <c r="H51" s="982" t="s">
        <v>110</v>
      </c>
      <c r="I51" s="982"/>
      <c r="J51" s="983"/>
    </row>
    <row r="52" spans="1:10" ht="12.75">
      <c r="A52" s="989"/>
      <c r="B52" s="286" t="s">
        <v>111</v>
      </c>
      <c r="C52" s="274" t="s">
        <v>155</v>
      </c>
      <c r="D52" s="276" t="s">
        <v>113</v>
      </c>
      <c r="E52" s="274" t="s">
        <v>111</v>
      </c>
      <c r="F52" s="274" t="s">
        <v>155</v>
      </c>
      <c r="G52" s="272" t="s">
        <v>113</v>
      </c>
      <c r="H52" s="982" t="str">
        <f>H4</f>
        <v>(15/14)</v>
      </c>
      <c r="I52" s="982"/>
      <c r="J52" s="983"/>
    </row>
    <row r="53" spans="1:10" ht="12.75">
      <c r="A53" s="287"/>
      <c r="B53" s="286" t="s">
        <v>156</v>
      </c>
      <c r="C53" s="274" t="s">
        <v>147</v>
      </c>
      <c r="D53" s="276" t="s">
        <v>148</v>
      </c>
      <c r="E53" s="274" t="s">
        <v>156</v>
      </c>
      <c r="F53" s="274" t="s">
        <v>147</v>
      </c>
      <c r="G53" s="272" t="s">
        <v>148</v>
      </c>
      <c r="H53" s="274" t="s">
        <v>111</v>
      </c>
      <c r="I53" s="274" t="s">
        <v>112</v>
      </c>
      <c r="J53" s="277" t="s">
        <v>113</v>
      </c>
    </row>
    <row r="54" spans="1:10" ht="12.75">
      <c r="A54" s="22" t="s">
        <v>389</v>
      </c>
      <c r="B54" s="23">
        <v>84844.269</v>
      </c>
      <c r="C54" s="23">
        <v>11565.427</v>
      </c>
      <c r="D54" s="30">
        <f aca="true" t="shared" si="7" ref="D54:D71">(B54*1000)/C54</f>
        <v>7336.025639174412</v>
      </c>
      <c r="E54" s="23">
        <v>72722.582</v>
      </c>
      <c r="F54" s="23">
        <v>9737.426</v>
      </c>
      <c r="G54" s="30">
        <f aca="true" t="shared" si="8" ref="G54:G71">(E54*1000)/F54</f>
        <v>7468.357859664351</v>
      </c>
      <c r="H54" s="25">
        <f aca="true" t="shared" si="9" ref="H54:H71">SUM(B54-E54)*100/E54</f>
        <v>16.668394694786837</v>
      </c>
      <c r="I54" s="25">
        <f aca="true" t="shared" si="10" ref="I54:I71">SUM(C54-F54)*100/F54</f>
        <v>18.77293855686298</v>
      </c>
      <c r="J54" s="26">
        <f aca="true" t="shared" si="11" ref="J54:J71">SUM(D54-G54)*100/G54</f>
        <v>-1.7719051895550977</v>
      </c>
    </row>
    <row r="55" spans="1:10" ht="12.75">
      <c r="A55" s="22" t="s">
        <v>312</v>
      </c>
      <c r="B55" s="23">
        <v>74108.403</v>
      </c>
      <c r="C55" s="23">
        <v>11579.423</v>
      </c>
      <c r="D55" s="30">
        <f t="shared" si="7"/>
        <v>6400.008273296518</v>
      </c>
      <c r="E55" s="23">
        <v>84415.278</v>
      </c>
      <c r="F55" s="23">
        <v>12235.725</v>
      </c>
      <c r="G55" s="30">
        <f t="shared" si="8"/>
        <v>6899.08264528665</v>
      </c>
      <c r="H55" s="25">
        <f t="shared" si="9"/>
        <v>-12.209727011738325</v>
      </c>
      <c r="I55" s="25">
        <f t="shared" si="10"/>
        <v>-5.363817836703585</v>
      </c>
      <c r="J55" s="26">
        <f t="shared" si="11"/>
        <v>-7.233923662750905</v>
      </c>
    </row>
    <row r="56" spans="1:10" ht="12.75">
      <c r="A56" s="22" t="s">
        <v>391</v>
      </c>
      <c r="B56" s="23">
        <v>54404</v>
      </c>
      <c r="C56" s="23">
        <v>7649.774</v>
      </c>
      <c r="D56" s="30">
        <f t="shared" si="7"/>
        <v>7111.844088465881</v>
      </c>
      <c r="E56" s="23">
        <v>55771.788</v>
      </c>
      <c r="F56" s="23">
        <v>7389.449</v>
      </c>
      <c r="G56" s="30">
        <f t="shared" si="8"/>
        <v>7547.4894000892355</v>
      </c>
      <c r="H56" s="25">
        <f t="shared" si="9"/>
        <v>-2.452472924124291</v>
      </c>
      <c r="I56" s="25">
        <f t="shared" si="10"/>
        <v>3.5229284348535423</v>
      </c>
      <c r="J56" s="26">
        <f t="shared" si="11"/>
        <v>-5.772055958345612</v>
      </c>
    </row>
    <row r="57" spans="1:10" ht="12.75">
      <c r="A57" s="22" t="s">
        <v>313</v>
      </c>
      <c r="B57" s="23">
        <v>30248.121</v>
      </c>
      <c r="C57" s="23">
        <v>4212.534</v>
      </c>
      <c r="D57" s="30">
        <f t="shared" si="7"/>
        <v>7180.504893254275</v>
      </c>
      <c r="E57" s="23">
        <v>29356.542</v>
      </c>
      <c r="F57" s="23">
        <v>3972.82</v>
      </c>
      <c r="G57" s="30">
        <f t="shared" si="8"/>
        <v>7389.346106795676</v>
      </c>
      <c r="H57" s="25">
        <f t="shared" si="9"/>
        <v>3.0370709193201226</v>
      </c>
      <c r="I57" s="25">
        <f t="shared" si="10"/>
        <v>6.033850010823533</v>
      </c>
      <c r="J57" s="26">
        <f t="shared" si="11"/>
        <v>-2.826247553208238</v>
      </c>
    </row>
    <row r="58" spans="1:10" ht="12.75">
      <c r="A58" s="22" t="s">
        <v>318</v>
      </c>
      <c r="B58" s="23">
        <v>23424.753</v>
      </c>
      <c r="C58" s="23">
        <v>3627.12</v>
      </c>
      <c r="D58" s="30">
        <f t="shared" si="7"/>
        <v>6458.223880103223</v>
      </c>
      <c r="E58" s="23">
        <v>12549.242</v>
      </c>
      <c r="F58" s="23">
        <v>2212.26</v>
      </c>
      <c r="G58" s="30">
        <f t="shared" si="8"/>
        <v>5672.589117011562</v>
      </c>
      <c r="H58" s="25">
        <f t="shared" si="9"/>
        <v>86.66269245584714</v>
      </c>
      <c r="I58" s="25">
        <f t="shared" si="10"/>
        <v>63.95541211250032</v>
      </c>
      <c r="J58" s="26">
        <f t="shared" si="11"/>
        <v>13.849668059609956</v>
      </c>
    </row>
    <row r="59" spans="1:10" ht="12.75">
      <c r="A59" s="22" t="s">
        <v>316</v>
      </c>
      <c r="B59" s="23">
        <v>22764.963</v>
      </c>
      <c r="C59" s="23">
        <v>3717.301</v>
      </c>
      <c r="D59" s="30">
        <f t="shared" si="7"/>
        <v>6124.056943465165</v>
      </c>
      <c r="E59" s="23">
        <v>29397.49</v>
      </c>
      <c r="F59" s="23">
        <v>4111.942</v>
      </c>
      <c r="G59" s="30">
        <f t="shared" si="8"/>
        <v>7149.295880146169</v>
      </c>
      <c r="H59" s="25">
        <f t="shared" si="9"/>
        <v>-22.561541818706296</v>
      </c>
      <c r="I59" s="25">
        <f t="shared" si="10"/>
        <v>-9.59743595605191</v>
      </c>
      <c r="J59" s="26">
        <f t="shared" si="11"/>
        <v>-14.340418327462515</v>
      </c>
    </row>
    <row r="60" spans="1:10" ht="12.75">
      <c r="A60" s="22" t="s">
        <v>314</v>
      </c>
      <c r="B60" s="23">
        <v>16446.311</v>
      </c>
      <c r="C60" s="23">
        <v>2056.654</v>
      </c>
      <c r="D60" s="30">
        <f aca="true" t="shared" si="12" ref="D60:D68">(B60*1000)/C60</f>
        <v>7996.634825303625</v>
      </c>
      <c r="E60" s="23">
        <v>20951.845</v>
      </c>
      <c r="F60" s="23">
        <v>2533.663</v>
      </c>
      <c r="G60" s="30">
        <f aca="true" t="shared" si="13" ref="G60:G67">(E60*1000)/F60</f>
        <v>8269.389022928464</v>
      </c>
      <c r="H60" s="25">
        <f aca="true" t="shared" si="14" ref="H60:J63">SUM(B60-E60)*100/E60</f>
        <v>-21.504235068558398</v>
      </c>
      <c r="I60" s="25">
        <f t="shared" si="14"/>
        <v>-18.826852663515236</v>
      </c>
      <c r="J60" s="26">
        <f t="shared" si="14"/>
        <v>-3.2983597321226052</v>
      </c>
    </row>
    <row r="61" spans="1:10" ht="12.75">
      <c r="A61" s="22" t="s">
        <v>317</v>
      </c>
      <c r="B61" s="23">
        <v>13532.573</v>
      </c>
      <c r="C61" s="23">
        <v>1625.289</v>
      </c>
      <c r="D61" s="30">
        <f t="shared" si="12"/>
        <v>8326.25643808578</v>
      </c>
      <c r="E61" s="23">
        <v>9540.597</v>
      </c>
      <c r="F61" s="23">
        <v>1019.954</v>
      </c>
      <c r="G61" s="30">
        <f t="shared" si="13"/>
        <v>9353.948315316182</v>
      </c>
      <c r="H61" s="25">
        <f>SUM(B61-E61)*100/E61</f>
        <v>41.84199374525515</v>
      </c>
      <c r="I61" s="25">
        <f>SUM(C61-F61)*100/F61</f>
        <v>59.34924516203672</v>
      </c>
      <c r="J61" s="26">
        <f>SUM(D61-G61)*100/G61</f>
        <v>-10.986717507810642</v>
      </c>
    </row>
    <row r="62" spans="1:10" ht="12.75">
      <c r="A62" s="22" t="s">
        <v>321</v>
      </c>
      <c r="B62" s="23">
        <v>12724.524</v>
      </c>
      <c r="C62" s="23">
        <v>1779.127</v>
      </c>
      <c r="D62" s="30">
        <f t="shared" si="12"/>
        <v>7152.116740401332</v>
      </c>
      <c r="E62" s="23">
        <v>8917.047</v>
      </c>
      <c r="F62" s="23">
        <v>1392.875</v>
      </c>
      <c r="G62" s="30">
        <f t="shared" si="13"/>
        <v>6401.900385892489</v>
      </c>
      <c r="H62" s="25">
        <f t="shared" si="14"/>
        <v>42.69885534975871</v>
      </c>
      <c r="I62" s="25">
        <f t="shared" si="14"/>
        <v>27.730557300547428</v>
      </c>
      <c r="J62" s="26">
        <f t="shared" si="14"/>
        <v>11.718650858142894</v>
      </c>
    </row>
    <row r="63" spans="1:10" ht="12.75">
      <c r="A63" s="22" t="s">
        <v>319</v>
      </c>
      <c r="B63" s="23">
        <v>11968.336</v>
      </c>
      <c r="C63" s="23">
        <v>1831.399</v>
      </c>
      <c r="D63" s="30">
        <f t="shared" si="12"/>
        <v>6535.078374510415</v>
      </c>
      <c r="E63" s="23">
        <v>12390.899</v>
      </c>
      <c r="F63" s="23">
        <v>1969.225</v>
      </c>
      <c r="G63" s="30">
        <f t="shared" si="13"/>
        <v>6292.271832827635</v>
      </c>
      <c r="H63" s="25">
        <f t="shared" si="14"/>
        <v>-3.410269101539768</v>
      </c>
      <c r="I63" s="25">
        <f t="shared" si="14"/>
        <v>-6.998997067374222</v>
      </c>
      <c r="J63" s="26">
        <f t="shared" si="14"/>
        <v>3.8588056608747525</v>
      </c>
    </row>
    <row r="64" spans="1:10" ht="12.75">
      <c r="A64" s="22" t="s">
        <v>397</v>
      </c>
      <c r="B64" s="23">
        <v>10296.868</v>
      </c>
      <c r="C64" s="23">
        <v>1045.824</v>
      </c>
      <c r="D64" s="30">
        <f t="shared" si="12"/>
        <v>9845.698702649775</v>
      </c>
      <c r="E64" s="23">
        <v>6332.303</v>
      </c>
      <c r="F64" s="23">
        <v>671.157</v>
      </c>
      <c r="G64" s="30">
        <f t="shared" si="13"/>
        <v>9434.905692706772</v>
      </c>
      <c r="H64" s="25">
        <f aca="true" t="shared" si="15" ref="H64:J67">SUM(B64-E64)*100/E64</f>
        <v>62.608580164278315</v>
      </c>
      <c r="I64" s="25">
        <f t="shared" si="15"/>
        <v>55.82404713055217</v>
      </c>
      <c r="J64" s="26">
        <f t="shared" si="15"/>
        <v>4.353970493425792</v>
      </c>
    </row>
    <row r="65" spans="1:10" ht="12.75">
      <c r="A65" s="22" t="s">
        <v>398</v>
      </c>
      <c r="B65" s="23">
        <v>8615.19</v>
      </c>
      <c r="C65" s="23">
        <v>1522.25</v>
      </c>
      <c r="D65" s="30">
        <f t="shared" si="12"/>
        <v>5659.510592872392</v>
      </c>
      <c r="E65" s="23">
        <v>9584.167</v>
      </c>
      <c r="F65" s="23">
        <v>1558.4</v>
      </c>
      <c r="G65" s="30">
        <f t="shared" si="13"/>
        <v>6150.004491786447</v>
      </c>
      <c r="H65" s="25">
        <f t="shared" si="15"/>
        <v>-10.110184849658808</v>
      </c>
      <c r="I65" s="25">
        <f t="shared" si="15"/>
        <v>-2.3196868583162273</v>
      </c>
      <c r="J65" s="26">
        <f t="shared" si="15"/>
        <v>-7.975504726364458</v>
      </c>
    </row>
    <row r="66" spans="1:10" ht="12.75">
      <c r="A66" s="22" t="s">
        <v>327</v>
      </c>
      <c r="B66" s="23">
        <v>8513.884</v>
      </c>
      <c r="C66" s="23">
        <v>1010.861</v>
      </c>
      <c r="D66" s="30">
        <f t="shared" si="12"/>
        <v>8422.408224276138</v>
      </c>
      <c r="E66" s="23">
        <v>8734.094</v>
      </c>
      <c r="F66" s="23">
        <v>1151.149</v>
      </c>
      <c r="G66" s="30">
        <f t="shared" si="13"/>
        <v>7587.283661802252</v>
      </c>
      <c r="H66" s="25">
        <f t="shared" si="15"/>
        <v>-2.521268949017484</v>
      </c>
      <c r="I66" s="25">
        <f t="shared" si="15"/>
        <v>-12.186780338600817</v>
      </c>
      <c r="J66" s="26">
        <f t="shared" si="15"/>
        <v>11.006897853025754</v>
      </c>
    </row>
    <row r="67" spans="1:10" ht="12.75">
      <c r="A67" s="22" t="s">
        <v>399</v>
      </c>
      <c r="B67" s="23">
        <v>7783.83</v>
      </c>
      <c r="C67" s="23">
        <v>1141.052</v>
      </c>
      <c r="D67" s="30">
        <f t="shared" si="12"/>
        <v>6821.626008280079</v>
      </c>
      <c r="E67" s="23">
        <v>9346.052</v>
      </c>
      <c r="F67" s="23">
        <v>1365.061</v>
      </c>
      <c r="G67" s="30">
        <f t="shared" si="13"/>
        <v>6846.61857601968</v>
      </c>
      <c r="H67" s="25">
        <f t="shared" si="15"/>
        <v>-16.715314659066735</v>
      </c>
      <c r="I67" s="25">
        <f t="shared" si="15"/>
        <v>-16.41018240210511</v>
      </c>
      <c r="J67" s="26">
        <f t="shared" si="15"/>
        <v>-0.3650351989394872</v>
      </c>
    </row>
    <row r="68" spans="1:10" ht="12.75">
      <c r="A68" s="22" t="s">
        <v>320</v>
      </c>
      <c r="B68" s="23">
        <v>6204.417</v>
      </c>
      <c r="C68" s="23">
        <v>615.374</v>
      </c>
      <c r="D68" s="30">
        <f t="shared" si="12"/>
        <v>10082.351545564161</v>
      </c>
      <c r="E68" s="23">
        <v>13674.542</v>
      </c>
      <c r="F68" s="23">
        <v>1672.421</v>
      </c>
      <c r="G68" s="30">
        <f t="shared" si="8"/>
        <v>8176.495033248207</v>
      </c>
      <c r="H68" s="25">
        <f t="shared" si="9"/>
        <v>-54.62797218363876</v>
      </c>
      <c r="I68" s="25">
        <f t="shared" si="10"/>
        <v>-63.20459979873488</v>
      </c>
      <c r="J68" s="26">
        <f t="shared" si="11"/>
        <v>23.30896679526057</v>
      </c>
    </row>
    <row r="69" spans="1:10" ht="12.75">
      <c r="A69" s="302" t="s">
        <v>134</v>
      </c>
      <c r="B69" s="294">
        <f>SUM(B54:B68)</f>
        <v>385880.44200000004</v>
      </c>
      <c r="C69" s="294">
        <f>SUM(C54:C68)</f>
        <v>54979.409</v>
      </c>
      <c r="D69" s="295">
        <f t="shared" si="7"/>
        <v>7018.6356859529005</v>
      </c>
      <c r="E69" s="294">
        <f>SUM(E54:E68)</f>
        <v>383684.46800000005</v>
      </c>
      <c r="F69" s="294">
        <f>SUM(F54:F68)</f>
        <v>52993.527</v>
      </c>
      <c r="G69" s="295">
        <f t="shared" si="8"/>
        <v>7240.2138472496845</v>
      </c>
      <c r="H69" s="296">
        <f t="shared" si="9"/>
        <v>0.5723385185349716</v>
      </c>
      <c r="I69" s="296">
        <f t="shared" si="10"/>
        <v>3.747404848143053</v>
      </c>
      <c r="J69" s="297">
        <f t="shared" si="11"/>
        <v>-3.0603814468954407</v>
      </c>
    </row>
    <row r="70" spans="1:10" ht="12.75">
      <c r="A70" s="31" t="s">
        <v>157</v>
      </c>
      <c r="B70" s="32">
        <f>B71-B69</f>
        <v>89550.70999999996</v>
      </c>
      <c r="C70" s="32">
        <f>C71-C69</f>
        <v>10879.210999999996</v>
      </c>
      <c r="D70" s="30">
        <f t="shared" si="7"/>
        <v>8231.360711728084</v>
      </c>
      <c r="E70" s="32">
        <f>E71-E69</f>
        <v>88136.53199999995</v>
      </c>
      <c r="F70" s="32">
        <f>F71-F69</f>
        <v>10263.633999999998</v>
      </c>
      <c r="G70" s="30">
        <f t="shared" si="8"/>
        <v>8587.263731345054</v>
      </c>
      <c r="H70" s="25">
        <f t="shared" si="9"/>
        <v>1.6045310246607107</v>
      </c>
      <c r="I70" s="25">
        <f t="shared" si="10"/>
        <v>5.997651514073842</v>
      </c>
      <c r="J70" s="26">
        <f t="shared" si="11"/>
        <v>-4.144545116482911</v>
      </c>
    </row>
    <row r="71" spans="1:10" ht="12.75">
      <c r="A71" s="298" t="s">
        <v>158</v>
      </c>
      <c r="B71" s="299">
        <f>B7</f>
        <v>475431.152</v>
      </c>
      <c r="C71" s="271">
        <f>C7</f>
        <v>65858.62</v>
      </c>
      <c r="D71" s="300">
        <f t="shared" si="7"/>
        <v>7218.96620366476</v>
      </c>
      <c r="E71" s="271">
        <f>E7</f>
        <v>471821</v>
      </c>
      <c r="F71" s="271">
        <f>F7</f>
        <v>63257.161</v>
      </c>
      <c r="G71" s="300">
        <f t="shared" si="8"/>
        <v>7458.776090188429</v>
      </c>
      <c r="H71" s="281">
        <f t="shared" si="9"/>
        <v>0.7651528863700433</v>
      </c>
      <c r="I71" s="281">
        <f t="shared" si="10"/>
        <v>4.112513048127461</v>
      </c>
      <c r="J71" s="301">
        <f t="shared" si="11"/>
        <v>-3.2151372239089633</v>
      </c>
    </row>
    <row r="72" spans="1:10" ht="12.75">
      <c r="A72" s="283" t="s">
        <v>121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991" t="s">
        <v>145</v>
      </c>
      <c r="B73" s="991"/>
      <c r="C73" s="991"/>
      <c r="D73" s="991"/>
      <c r="E73" s="991"/>
      <c r="F73" s="991"/>
      <c r="G73" s="991"/>
      <c r="H73" s="991"/>
      <c r="I73" s="991"/>
      <c r="J73" s="991"/>
    </row>
    <row r="74" spans="1:10" ht="12.75">
      <c r="A74" s="986" t="s">
        <v>388</v>
      </c>
      <c r="B74" s="986"/>
      <c r="C74" s="986"/>
      <c r="D74" s="986"/>
      <c r="E74" s="986"/>
      <c r="F74" s="986"/>
      <c r="G74" s="986"/>
      <c r="H74" s="986"/>
      <c r="I74" s="986"/>
      <c r="J74" s="986"/>
    </row>
    <row r="75" spans="1:10" ht="12.75">
      <c r="A75" s="303"/>
      <c r="B75" s="303"/>
      <c r="C75" s="303"/>
      <c r="D75" s="303"/>
      <c r="E75" s="303"/>
      <c r="F75" s="303"/>
      <c r="G75" s="303"/>
      <c r="H75" s="303"/>
      <c r="I75" s="303"/>
      <c r="J75" s="303"/>
    </row>
    <row r="76" spans="1:10" ht="12.75">
      <c r="A76" s="992" t="s">
        <v>161</v>
      </c>
      <c r="B76" s="993"/>
      <c r="C76" s="993"/>
      <c r="D76" s="33"/>
      <c r="E76" s="33"/>
      <c r="F76" s="33"/>
      <c r="G76" s="33"/>
      <c r="H76" s="33"/>
      <c r="I76" s="33"/>
      <c r="J76" s="33"/>
    </row>
    <row r="77" spans="1:10" ht="12.75">
      <c r="A77" s="9"/>
      <c r="B77" s="9"/>
      <c r="C77" s="9"/>
      <c r="D77" s="9"/>
      <c r="E77" s="9"/>
      <c r="F77" s="9"/>
      <c r="G77" s="28"/>
      <c r="H77" s="9"/>
      <c r="I77" s="9"/>
      <c r="J77" s="9"/>
    </row>
    <row r="78" spans="1:10" ht="12.75">
      <c r="A78" s="978" t="s">
        <v>154</v>
      </c>
      <c r="B78" s="994" t="str">
        <f>B3</f>
        <v>Jan a Out/2015</v>
      </c>
      <c r="C78" s="995"/>
      <c r="D78" s="996"/>
      <c r="E78" s="994" t="str">
        <f>E3</f>
        <v>Jan a Out/2014</v>
      </c>
      <c r="F78" s="995"/>
      <c r="G78" s="996"/>
      <c r="H78" s="982" t="s">
        <v>110</v>
      </c>
      <c r="I78" s="982"/>
      <c r="J78" s="983"/>
    </row>
    <row r="79" spans="1:10" ht="12.75">
      <c r="A79" s="989"/>
      <c r="B79" s="286" t="s">
        <v>111</v>
      </c>
      <c r="C79" s="274" t="s">
        <v>155</v>
      </c>
      <c r="D79" s="276" t="s">
        <v>113</v>
      </c>
      <c r="E79" s="274" t="s">
        <v>111</v>
      </c>
      <c r="F79" s="274" t="s">
        <v>155</v>
      </c>
      <c r="G79" s="272" t="s">
        <v>113</v>
      </c>
      <c r="H79" s="982" t="str">
        <f>H4</f>
        <v>(15/14)</v>
      </c>
      <c r="I79" s="982"/>
      <c r="J79" s="983"/>
    </row>
    <row r="80" spans="1:10" ht="12.75">
      <c r="A80" s="287"/>
      <c r="B80" s="286" t="s">
        <v>156</v>
      </c>
      <c r="C80" s="274" t="s">
        <v>147</v>
      </c>
      <c r="D80" s="276" t="s">
        <v>148</v>
      </c>
      <c r="E80" s="274" t="s">
        <v>156</v>
      </c>
      <c r="F80" s="274" t="s">
        <v>147</v>
      </c>
      <c r="G80" s="272" t="s">
        <v>148</v>
      </c>
      <c r="H80" s="274" t="s">
        <v>111</v>
      </c>
      <c r="I80" s="274" t="s">
        <v>112</v>
      </c>
      <c r="J80" s="277" t="s">
        <v>113</v>
      </c>
    </row>
    <row r="81" spans="1:10" ht="12.75">
      <c r="A81" s="22" t="s">
        <v>312</v>
      </c>
      <c r="B81" s="32">
        <v>3724.738</v>
      </c>
      <c r="C81" s="32">
        <v>458.859</v>
      </c>
      <c r="D81" s="30">
        <f aca="true" t="shared" si="16" ref="D81:D98">(B81*1000)/C81</f>
        <v>8117.391181168943</v>
      </c>
      <c r="E81" s="32">
        <v>5039.155</v>
      </c>
      <c r="F81" s="32">
        <v>560.147</v>
      </c>
      <c r="G81" s="30">
        <f aca="true" t="shared" si="17" ref="G81:G92">(E81*1000)/F81</f>
        <v>8996.129587411875</v>
      </c>
      <c r="H81" s="25">
        <f aca="true" t="shared" si="18" ref="H81:H92">SUM(B81-E81)*100/E81</f>
        <v>-26.0840756039455</v>
      </c>
      <c r="I81" s="25">
        <f aca="true" t="shared" si="19" ref="I81:I92">SUM(C81-F81)*100/F81</f>
        <v>-18.082396228132982</v>
      </c>
      <c r="J81" s="26">
        <f aca="true" t="shared" si="20" ref="J81:J92">SUM(D81-G81)*100/G81</f>
        <v>-9.767960740278076</v>
      </c>
    </row>
    <row r="82" spans="1:10" ht="12.75">
      <c r="A82" s="22" t="s">
        <v>389</v>
      </c>
      <c r="B82" s="32">
        <v>1992.642</v>
      </c>
      <c r="C82" s="32">
        <v>457.873</v>
      </c>
      <c r="D82" s="30">
        <f t="shared" si="16"/>
        <v>4351.95348928633</v>
      </c>
      <c r="E82" s="32">
        <v>1875.695</v>
      </c>
      <c r="F82" s="32">
        <v>292.435</v>
      </c>
      <c r="G82" s="30">
        <f t="shared" si="17"/>
        <v>6414.057824815771</v>
      </c>
      <c r="H82" s="25">
        <f t="shared" si="18"/>
        <v>6.234862277715733</v>
      </c>
      <c r="I82" s="25">
        <f t="shared" si="19"/>
        <v>56.57257168259613</v>
      </c>
      <c r="J82" s="26">
        <f t="shared" si="20"/>
        <v>-32.14976216072186</v>
      </c>
    </row>
    <row r="83" spans="1:10" ht="12.75">
      <c r="A83" s="22" t="s">
        <v>319</v>
      </c>
      <c r="B83" s="32">
        <v>630.515</v>
      </c>
      <c r="C83" s="32">
        <v>136.314</v>
      </c>
      <c r="D83" s="30">
        <f>(B83*1000)/C83</f>
        <v>4625.460334228326</v>
      </c>
      <c r="E83" s="32">
        <v>860.652</v>
      </c>
      <c r="F83" s="32">
        <v>136.972</v>
      </c>
      <c r="G83" s="30">
        <f>(E83*1000)/F83</f>
        <v>6283.415588587448</v>
      </c>
      <c r="H83" s="25">
        <f>SUM(B83-E83)*100/E83</f>
        <v>-26.739843746369036</v>
      </c>
      <c r="I83" s="25">
        <f>SUM(C83-F83)*100/F83</f>
        <v>-0.48039015273195645</v>
      </c>
      <c r="J83" s="26">
        <f>SUM(D83-G83)*100/G83</f>
        <v>-26.386210349836823</v>
      </c>
    </row>
    <row r="84" spans="1:10" ht="12.75">
      <c r="A84" s="22" t="s">
        <v>313</v>
      </c>
      <c r="B84" s="32">
        <v>598.303</v>
      </c>
      <c r="C84" s="32">
        <v>119.187</v>
      </c>
      <c r="D84" s="30">
        <f t="shared" si="16"/>
        <v>5019.867938617467</v>
      </c>
      <c r="E84" s="32">
        <v>854.989</v>
      </c>
      <c r="F84" s="32">
        <v>136.502</v>
      </c>
      <c r="G84" s="30">
        <f t="shared" si="17"/>
        <v>6263.563903825585</v>
      </c>
      <c r="H84" s="25">
        <f t="shared" si="18"/>
        <v>-30.022140635727478</v>
      </c>
      <c r="I84" s="25">
        <f t="shared" si="19"/>
        <v>-12.684795827167376</v>
      </c>
      <c r="J84" s="26">
        <f t="shared" si="20"/>
        <v>-19.856043369311006</v>
      </c>
    </row>
    <row r="85" spans="1:10" ht="12.75">
      <c r="A85" s="22" t="s">
        <v>322</v>
      </c>
      <c r="B85" s="32">
        <v>503.404</v>
      </c>
      <c r="C85" s="32">
        <v>64.11</v>
      </c>
      <c r="D85" s="30">
        <f t="shared" si="16"/>
        <v>7852.19154578069</v>
      </c>
      <c r="E85" s="32">
        <v>436.813</v>
      </c>
      <c r="F85" s="32">
        <v>60.353</v>
      </c>
      <c r="G85" s="30">
        <f t="shared" si="17"/>
        <v>7237.635245969545</v>
      </c>
      <c r="H85" s="25">
        <f t="shared" si="18"/>
        <v>15.244738595234118</v>
      </c>
      <c r="I85" s="25">
        <f t="shared" si="19"/>
        <v>6.22504266565042</v>
      </c>
      <c r="J85" s="26">
        <f t="shared" si="20"/>
        <v>8.491120081705905</v>
      </c>
    </row>
    <row r="86" spans="1:10" ht="12.75">
      <c r="A86" s="22" t="s">
        <v>323</v>
      </c>
      <c r="B86" s="32">
        <v>447.072</v>
      </c>
      <c r="C86" s="32">
        <v>69.983</v>
      </c>
      <c r="D86" s="30">
        <f t="shared" si="16"/>
        <v>6388.2943000442965</v>
      </c>
      <c r="E86" s="32">
        <v>372.89</v>
      </c>
      <c r="F86" s="32">
        <v>65.374</v>
      </c>
      <c r="G86" s="30">
        <f t="shared" si="17"/>
        <v>5703.949582402791</v>
      </c>
      <c r="H86" s="25">
        <f t="shared" si="18"/>
        <v>19.893802461852026</v>
      </c>
      <c r="I86" s="25">
        <f t="shared" si="19"/>
        <v>7.0502034447945805</v>
      </c>
      <c r="J86" s="26">
        <f t="shared" si="20"/>
        <v>11.997734337497866</v>
      </c>
    </row>
    <row r="87" spans="1:10" ht="12.75">
      <c r="A87" s="22" t="s">
        <v>320</v>
      </c>
      <c r="B87" s="32">
        <v>268.352</v>
      </c>
      <c r="C87" s="32">
        <v>46.269</v>
      </c>
      <c r="D87" s="30">
        <f t="shared" si="16"/>
        <v>5799.82277550844</v>
      </c>
      <c r="E87" s="32">
        <v>318.164</v>
      </c>
      <c r="F87" s="32">
        <v>45.491</v>
      </c>
      <c r="G87" s="30">
        <f t="shared" si="17"/>
        <v>6993.9988129520125</v>
      </c>
      <c r="H87" s="25">
        <f t="shared" si="18"/>
        <v>-15.65607674029746</v>
      </c>
      <c r="I87" s="25">
        <f t="shared" si="19"/>
        <v>1.7102283968257428</v>
      </c>
      <c r="J87" s="26">
        <f t="shared" si="20"/>
        <v>-17.07429568378118</v>
      </c>
    </row>
    <row r="88" spans="1:10" ht="12.75">
      <c r="A88" s="22" t="s">
        <v>324</v>
      </c>
      <c r="B88" s="32">
        <v>173.062</v>
      </c>
      <c r="C88" s="32">
        <v>48.542</v>
      </c>
      <c r="D88" s="30">
        <f>(B88*1000)/C88</f>
        <v>3565.201269004161</v>
      </c>
      <c r="E88" s="32">
        <v>209.668</v>
      </c>
      <c r="F88" s="32">
        <v>46.999</v>
      </c>
      <c r="G88" s="30">
        <f>(E88*1000)/F88</f>
        <v>4461.116193961573</v>
      </c>
      <c r="H88" s="25">
        <f aca="true" t="shared" si="21" ref="H88:J89">SUM(B88-E88)*100/E88</f>
        <v>-17.45903046721483</v>
      </c>
      <c r="I88" s="25">
        <f t="shared" si="21"/>
        <v>3.2830485755016046</v>
      </c>
      <c r="J88" s="26">
        <f t="shared" si="21"/>
        <v>-20.082752522117545</v>
      </c>
    </row>
    <row r="89" spans="1:10" ht="12.75">
      <c r="A89" s="22" t="s">
        <v>325</v>
      </c>
      <c r="B89" s="32">
        <v>130.801</v>
      </c>
      <c r="C89" s="32">
        <v>27.525</v>
      </c>
      <c r="D89" s="30">
        <f>(B89*1000)/C89</f>
        <v>4752.079927338783</v>
      </c>
      <c r="E89" s="32">
        <v>139.767</v>
      </c>
      <c r="F89" s="32">
        <v>24.27</v>
      </c>
      <c r="G89" s="30">
        <f>(E89*1000)/F89</f>
        <v>5758.838071693449</v>
      </c>
      <c r="H89" s="25">
        <f t="shared" si="21"/>
        <v>-6.41496204397319</v>
      </c>
      <c r="I89" s="25">
        <f t="shared" si="21"/>
        <v>13.411619283065509</v>
      </c>
      <c r="J89" s="26">
        <f t="shared" si="21"/>
        <v>-17.481966532506057</v>
      </c>
    </row>
    <row r="90" spans="1:10" ht="12.75">
      <c r="A90" s="22" t="s">
        <v>343</v>
      </c>
      <c r="B90" s="32">
        <v>116.685</v>
      </c>
      <c r="C90" s="32">
        <v>13.678</v>
      </c>
      <c r="D90" s="30">
        <f t="shared" si="16"/>
        <v>8530.852463810497</v>
      </c>
      <c r="E90" s="32">
        <v>148.165</v>
      </c>
      <c r="F90" s="32">
        <v>20.574</v>
      </c>
      <c r="G90" s="30">
        <f t="shared" si="17"/>
        <v>7201.56508214251</v>
      </c>
      <c r="H90" s="25">
        <f t="shared" si="18"/>
        <v>-21.246583201160863</v>
      </c>
      <c r="I90" s="25">
        <f t="shared" si="19"/>
        <v>-33.5180324681637</v>
      </c>
      <c r="J90" s="26">
        <f t="shared" si="20"/>
        <v>18.45831241550783</v>
      </c>
    </row>
    <row r="91" spans="1:10" ht="12.75">
      <c r="A91" s="22" t="s">
        <v>400</v>
      </c>
      <c r="B91" s="32">
        <v>24.701</v>
      </c>
      <c r="C91" s="32">
        <v>2.8</v>
      </c>
      <c r="D91" s="30">
        <f>(B91*1000)/C91</f>
        <v>8821.785714285716</v>
      </c>
      <c r="E91" s="32">
        <v>30.866</v>
      </c>
      <c r="F91" s="32">
        <v>3.025</v>
      </c>
      <c r="G91" s="30">
        <f>(E91*1000)/F91</f>
        <v>10203.636363636364</v>
      </c>
      <c r="H91" s="25">
        <f>SUM(B91-E91)*100/E91</f>
        <v>-19.97343355148059</v>
      </c>
      <c r="I91" s="25">
        <f>SUM(C91-F91)*100/F91</f>
        <v>-7.438016528925623</v>
      </c>
      <c r="J91" s="26">
        <f>SUM(D91-G91)*100/G91</f>
        <v>-13.542727319010275</v>
      </c>
    </row>
    <row r="92" spans="1:10" ht="12.75">
      <c r="A92" s="22" t="s">
        <v>397</v>
      </c>
      <c r="B92" s="32">
        <v>22.335</v>
      </c>
      <c r="C92" s="32">
        <v>1.062</v>
      </c>
      <c r="D92" s="30">
        <f t="shared" si="16"/>
        <v>21031.073446327682</v>
      </c>
      <c r="E92" s="32">
        <v>25.588</v>
      </c>
      <c r="F92" s="32">
        <v>1.074</v>
      </c>
      <c r="G92" s="30">
        <f t="shared" si="17"/>
        <v>23824.953445065177</v>
      </c>
      <c r="H92" s="25">
        <f t="shared" si="18"/>
        <v>-12.712990464280132</v>
      </c>
      <c r="I92" s="25">
        <f t="shared" si="19"/>
        <v>-1.1173184357541908</v>
      </c>
      <c r="J92" s="26">
        <f t="shared" si="20"/>
        <v>-11.726696571221156</v>
      </c>
    </row>
    <row r="93" spans="1:10" ht="12.75">
      <c r="A93" s="22" t="s">
        <v>342</v>
      </c>
      <c r="B93" s="32">
        <v>18.985</v>
      </c>
      <c r="C93" s="32">
        <v>4</v>
      </c>
      <c r="D93" s="30">
        <f>(B93*1000)/C93</f>
        <v>4746.25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4">
        <v>0</v>
      </c>
    </row>
    <row r="94" spans="1:10" ht="12.75">
      <c r="A94" s="22" t="s">
        <v>314</v>
      </c>
      <c r="B94" s="32">
        <v>18.948</v>
      </c>
      <c r="C94" s="32">
        <v>2.953</v>
      </c>
      <c r="D94" s="30">
        <f>(B94*1000)/C94</f>
        <v>6416.525567219777</v>
      </c>
      <c r="E94" s="32">
        <v>18.935</v>
      </c>
      <c r="F94" s="32">
        <v>2.525</v>
      </c>
      <c r="G94" s="32">
        <v>0</v>
      </c>
      <c r="H94" s="32">
        <v>0</v>
      </c>
      <c r="I94" s="32">
        <v>0</v>
      </c>
      <c r="J94" s="34">
        <v>0</v>
      </c>
    </row>
    <row r="95" spans="1:10" ht="12.75">
      <c r="A95" s="22" t="s">
        <v>317</v>
      </c>
      <c r="B95" s="32">
        <v>16.73</v>
      </c>
      <c r="C95" s="32">
        <v>0.864</v>
      </c>
      <c r="D95" s="30">
        <f t="shared" si="16"/>
        <v>19363.425925925927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4">
        <v>0</v>
      </c>
    </row>
    <row r="96" spans="1:10" ht="12.75">
      <c r="A96" s="293" t="s">
        <v>134</v>
      </c>
      <c r="B96" s="294">
        <f>SUM(B81:B95)</f>
        <v>8687.273</v>
      </c>
      <c r="C96" s="294">
        <f>SUM(C81:C95)</f>
        <v>1454.0189999999998</v>
      </c>
      <c r="D96" s="295">
        <f t="shared" si="16"/>
        <v>5974.662641959975</v>
      </c>
      <c r="E96" s="294">
        <f>SUM(E81:E95)</f>
        <v>10331.347</v>
      </c>
      <c r="F96" s="294">
        <f>SUM(F81:F95)</f>
        <v>1395.7410000000004</v>
      </c>
      <c r="G96" s="295">
        <f>(E96*1000)/F96</f>
        <v>7402.051670044798</v>
      </c>
      <c r="H96" s="296">
        <f aca="true" t="shared" si="22" ref="H96:J98">SUM(B96-E96)*100/E96</f>
        <v>-15.91345252463208</v>
      </c>
      <c r="I96" s="296">
        <f t="shared" si="22"/>
        <v>4.1754164991928535</v>
      </c>
      <c r="J96" s="297">
        <f t="shared" si="22"/>
        <v>-19.28369446354032</v>
      </c>
    </row>
    <row r="97" spans="1:10" ht="12.75">
      <c r="A97" s="31" t="s">
        <v>157</v>
      </c>
      <c r="B97" s="32">
        <f>B98-B96</f>
        <v>81.6869999999999</v>
      </c>
      <c r="C97" s="32">
        <f>C98-C96</f>
        <v>10.801000000000158</v>
      </c>
      <c r="D97" s="30">
        <f t="shared" si="16"/>
        <v>7562.910841588621</v>
      </c>
      <c r="E97" s="32">
        <f>E98-E96</f>
        <v>228.65300000000025</v>
      </c>
      <c r="F97" s="32">
        <f>F98-F96</f>
        <v>25.79399999999964</v>
      </c>
      <c r="G97" s="30">
        <f>(E97*1000)/F97</f>
        <v>8864.580910289347</v>
      </c>
      <c r="H97" s="25">
        <f t="shared" si="22"/>
        <v>-64.27468697108728</v>
      </c>
      <c r="I97" s="25">
        <f t="shared" si="22"/>
        <v>-58.125920756763946</v>
      </c>
      <c r="J97" s="26">
        <f t="shared" si="22"/>
        <v>-14.683943684126612</v>
      </c>
    </row>
    <row r="98" spans="1:10" ht="12.75">
      <c r="A98" s="298" t="s">
        <v>158</v>
      </c>
      <c r="B98" s="299">
        <f>B8</f>
        <v>8768.96</v>
      </c>
      <c r="C98" s="271">
        <f>C8</f>
        <v>1464.82</v>
      </c>
      <c r="D98" s="300">
        <f t="shared" si="16"/>
        <v>5986.373752406439</v>
      </c>
      <c r="E98" s="271">
        <f>E8</f>
        <v>10560</v>
      </c>
      <c r="F98" s="271">
        <f>F8</f>
        <v>1421.535</v>
      </c>
      <c r="G98" s="300">
        <f>(E98*1000)/F98</f>
        <v>7428.589517669279</v>
      </c>
      <c r="H98" s="281">
        <f t="shared" si="22"/>
        <v>-16.960606060606068</v>
      </c>
      <c r="I98" s="281">
        <f t="shared" si="22"/>
        <v>3.044947890836304</v>
      </c>
      <c r="J98" s="301">
        <f t="shared" si="22"/>
        <v>-19.41439571849348</v>
      </c>
    </row>
    <row r="99" spans="1:10" ht="12.75">
      <c r="A99" s="283" t="s">
        <v>121</v>
      </c>
      <c r="B99" s="9"/>
      <c r="C99" s="9"/>
      <c r="D99" s="9"/>
      <c r="E99" s="9"/>
      <c r="F99" s="9"/>
      <c r="G99" s="28"/>
      <c r="H99" s="9"/>
      <c r="I99" s="9"/>
      <c r="J99" s="9"/>
    </row>
    <row r="100" spans="1:10" ht="12.75">
      <c r="A100" s="468"/>
      <c r="B100" s="468"/>
      <c r="C100" s="468"/>
      <c r="D100" s="468"/>
      <c r="E100" s="468"/>
      <c r="F100" s="468"/>
      <c r="G100" s="469"/>
      <c r="H100" s="468"/>
      <c r="I100" s="468"/>
      <c r="J100" s="468"/>
    </row>
    <row r="101" spans="1:10" ht="12.75">
      <c r="A101" s="991" t="s">
        <v>162</v>
      </c>
      <c r="B101" s="991"/>
      <c r="C101" s="991"/>
      <c r="D101" s="991"/>
      <c r="E101" s="991"/>
      <c r="F101" s="991"/>
      <c r="G101" s="991"/>
      <c r="H101" s="991"/>
      <c r="I101" s="991"/>
      <c r="J101" s="991"/>
    </row>
    <row r="102" spans="1:10" ht="12.75">
      <c r="A102" s="986" t="s">
        <v>388</v>
      </c>
      <c r="B102" s="986"/>
      <c r="C102" s="986"/>
      <c r="D102" s="986"/>
      <c r="E102" s="986"/>
      <c r="F102" s="986"/>
      <c r="G102" s="986"/>
      <c r="H102" s="986"/>
      <c r="I102" s="986"/>
      <c r="J102" s="986"/>
    </row>
    <row r="103" spans="1:10" ht="12.75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</row>
    <row r="104" spans="1:10" ht="12.75">
      <c r="A104" s="992" t="s">
        <v>163</v>
      </c>
      <c r="B104" s="993"/>
      <c r="C104" s="993"/>
      <c r="D104" s="33"/>
      <c r="E104" s="33"/>
      <c r="F104" s="33"/>
      <c r="G104" s="33"/>
      <c r="H104" s="33"/>
      <c r="I104" s="33"/>
      <c r="J104" s="33"/>
    </row>
    <row r="105" spans="1:10" ht="12.75">
      <c r="A105" s="9"/>
      <c r="B105" s="9"/>
      <c r="C105" s="9"/>
      <c r="D105" s="9"/>
      <c r="E105" s="9"/>
      <c r="F105" s="9"/>
      <c r="G105" s="28"/>
      <c r="H105" s="9"/>
      <c r="I105" s="9"/>
      <c r="J105" s="9"/>
    </row>
    <row r="106" spans="1:10" ht="12.75">
      <c r="A106" s="978" t="s">
        <v>154</v>
      </c>
      <c r="B106" s="990" t="str">
        <f>B3</f>
        <v>Jan a Out/2015</v>
      </c>
      <c r="C106" s="984"/>
      <c r="D106" s="984"/>
      <c r="E106" s="990" t="str">
        <f>E3</f>
        <v>Jan a Out/2014</v>
      </c>
      <c r="F106" s="984"/>
      <c r="G106" s="984"/>
      <c r="H106" s="982" t="s">
        <v>110</v>
      </c>
      <c r="I106" s="982"/>
      <c r="J106" s="983"/>
    </row>
    <row r="107" spans="1:10" ht="12.75">
      <c r="A107" s="989"/>
      <c r="B107" s="286" t="s">
        <v>111</v>
      </c>
      <c r="C107" s="274" t="s">
        <v>155</v>
      </c>
      <c r="D107" s="276" t="s">
        <v>113</v>
      </c>
      <c r="E107" s="274" t="s">
        <v>111</v>
      </c>
      <c r="F107" s="274" t="s">
        <v>155</v>
      </c>
      <c r="G107" s="272" t="s">
        <v>113</v>
      </c>
      <c r="H107" s="982" t="str">
        <f>H4</f>
        <v>(15/14)</v>
      </c>
      <c r="I107" s="982"/>
      <c r="J107" s="983"/>
    </row>
    <row r="108" spans="1:10" ht="12.75">
      <c r="A108" s="287"/>
      <c r="B108" s="286" t="s">
        <v>156</v>
      </c>
      <c r="C108" s="274" t="s">
        <v>147</v>
      </c>
      <c r="D108" s="276" t="s">
        <v>148</v>
      </c>
      <c r="E108" s="274" t="s">
        <v>156</v>
      </c>
      <c r="F108" s="274" t="s">
        <v>147</v>
      </c>
      <c r="G108" s="272" t="s">
        <v>148</v>
      </c>
      <c r="H108" s="274" t="s">
        <v>111</v>
      </c>
      <c r="I108" s="274" t="s">
        <v>112</v>
      </c>
      <c r="J108" s="277" t="s">
        <v>113</v>
      </c>
    </row>
    <row r="109" spans="1:10" ht="12.75">
      <c r="A109" s="22" t="s">
        <v>319</v>
      </c>
      <c r="B109" s="23">
        <v>14443.162</v>
      </c>
      <c r="C109" s="23">
        <v>2855.28</v>
      </c>
      <c r="D109" s="30">
        <f>(B109*1000)/C109</f>
        <v>5058.4047799165055</v>
      </c>
      <c r="E109" s="23">
        <v>15242.118</v>
      </c>
      <c r="F109" s="23">
        <v>2722.26</v>
      </c>
      <c r="G109" s="30">
        <f>(E109*1000)/F109</f>
        <v>5599.067686407617</v>
      </c>
      <c r="H109" s="25">
        <f>SUM(B109-E109)*100/E109</f>
        <v>-5.241764956812433</v>
      </c>
      <c r="I109" s="25">
        <f>SUM(C109-F109)*100/F109</f>
        <v>4.886381168587864</v>
      </c>
      <c r="J109" s="26">
        <f>SUM(D109-G109)*100/G109</f>
        <v>-9.656302384120714</v>
      </c>
    </row>
    <row r="110" spans="1:10" ht="12.75">
      <c r="A110" s="22" t="s">
        <v>313</v>
      </c>
      <c r="B110" s="23">
        <v>12304.148</v>
      </c>
      <c r="C110" s="23">
        <v>2011.98</v>
      </c>
      <c r="D110" s="30">
        <f aca="true" t="shared" si="23" ref="D110:D124">(B110*1000)/C110</f>
        <v>6115.442499428424</v>
      </c>
      <c r="E110" s="23">
        <v>18061.734</v>
      </c>
      <c r="F110" s="23">
        <v>3278.296</v>
      </c>
      <c r="G110" s="30">
        <f aca="true" t="shared" si="24" ref="G110:G120">(E110*1000)/F110</f>
        <v>5509.488465959145</v>
      </c>
      <c r="H110" s="25">
        <f aca="true" t="shared" si="25" ref="H110:H120">SUM(B110-E110)*100/E110</f>
        <v>-31.87726051108936</v>
      </c>
      <c r="I110" s="25">
        <f aca="true" t="shared" si="26" ref="I110:I120">SUM(C110-F110)*100/F110</f>
        <v>-38.627262455861214</v>
      </c>
      <c r="J110" s="26">
        <f aca="true" t="shared" si="27" ref="J110:J120">SUM(D110-G110)*100/G110</f>
        <v>10.998371939849193</v>
      </c>
    </row>
    <row r="111" spans="1:10" ht="12.75">
      <c r="A111" s="22" t="s">
        <v>390</v>
      </c>
      <c r="B111" s="23">
        <v>2682.543</v>
      </c>
      <c r="C111" s="23">
        <v>441.966</v>
      </c>
      <c r="D111" s="30">
        <f t="shared" si="23"/>
        <v>6069.56869985474</v>
      </c>
      <c r="E111" s="23">
        <v>3548.542</v>
      </c>
      <c r="F111" s="23">
        <v>633.618</v>
      </c>
      <c r="G111" s="30">
        <f t="shared" si="24"/>
        <v>5600.443800523343</v>
      </c>
      <c r="H111" s="25">
        <f t="shared" si="25"/>
        <v>-24.40436100234969</v>
      </c>
      <c r="I111" s="25">
        <f t="shared" si="26"/>
        <v>-30.247246763823004</v>
      </c>
      <c r="J111" s="26">
        <f t="shared" si="27"/>
        <v>8.37656650152544</v>
      </c>
    </row>
    <row r="112" spans="1:10" ht="12.75">
      <c r="A112" s="22" t="s">
        <v>389</v>
      </c>
      <c r="B112" s="23">
        <v>680.154</v>
      </c>
      <c r="C112" s="23">
        <v>51.354</v>
      </c>
      <c r="D112" s="30">
        <f t="shared" si="23"/>
        <v>13244.421077228648</v>
      </c>
      <c r="E112" s="23">
        <v>731.433</v>
      </c>
      <c r="F112" s="23">
        <v>54.683</v>
      </c>
      <c r="G112" s="30">
        <f t="shared" si="24"/>
        <v>13375.875500612621</v>
      </c>
      <c r="H112" s="25">
        <f t="shared" si="25"/>
        <v>-7.010758333299154</v>
      </c>
      <c r="I112" s="25">
        <f t="shared" si="26"/>
        <v>-6.087815225938593</v>
      </c>
      <c r="J112" s="26">
        <f t="shared" si="27"/>
        <v>-0.9827724800365604</v>
      </c>
    </row>
    <row r="113" spans="1:10" ht="12.75">
      <c r="A113" s="22" t="s">
        <v>320</v>
      </c>
      <c r="B113" s="23">
        <v>531.391</v>
      </c>
      <c r="C113" s="23">
        <v>59.302</v>
      </c>
      <c r="D113" s="30">
        <f t="shared" si="23"/>
        <v>8960.760176722539</v>
      </c>
      <c r="E113" s="23">
        <v>870.761</v>
      </c>
      <c r="F113" s="23">
        <v>54.059</v>
      </c>
      <c r="G113" s="30">
        <f t="shared" si="24"/>
        <v>16107.604654174143</v>
      </c>
      <c r="H113" s="25">
        <f t="shared" si="25"/>
        <v>-38.97395496582874</v>
      </c>
      <c r="I113" s="25">
        <f t="shared" si="26"/>
        <v>9.698662572374632</v>
      </c>
      <c r="J113" s="26">
        <f t="shared" si="27"/>
        <v>-44.369380990484906</v>
      </c>
    </row>
    <row r="114" spans="1:10" ht="12.75">
      <c r="A114" s="22" t="s">
        <v>323</v>
      </c>
      <c r="B114" s="23">
        <v>465.721</v>
      </c>
      <c r="C114" s="23">
        <v>47.614</v>
      </c>
      <c r="D114" s="30">
        <f>(B114*1000)/C114</f>
        <v>9781.177804847315</v>
      </c>
      <c r="E114" s="23">
        <v>418.642</v>
      </c>
      <c r="F114" s="23">
        <v>40.26</v>
      </c>
      <c r="G114" s="30">
        <f>(E114*1000)/F114</f>
        <v>10398.460009935421</v>
      </c>
      <c r="H114" s="25">
        <f>SUM(B114-E114)*100/E114</f>
        <v>11.245646638416597</v>
      </c>
      <c r="I114" s="25">
        <f>SUM(C114-F114)*100/F114</f>
        <v>18.266269249875805</v>
      </c>
      <c r="J114" s="26">
        <f>SUM(D114-G114)*100/G114</f>
        <v>-5.936284839277268</v>
      </c>
    </row>
    <row r="115" spans="1:10" ht="12.75">
      <c r="A115" s="22" t="s">
        <v>326</v>
      </c>
      <c r="B115" s="23">
        <v>435.448</v>
      </c>
      <c r="C115" s="23">
        <v>85.2</v>
      </c>
      <c r="D115" s="30">
        <f t="shared" si="23"/>
        <v>5110.892018779343</v>
      </c>
      <c r="E115" s="23">
        <v>351.835</v>
      </c>
      <c r="F115" s="23">
        <v>71</v>
      </c>
      <c r="G115" s="30">
        <f t="shared" si="24"/>
        <v>4955.422535211268</v>
      </c>
      <c r="H115" s="25">
        <f t="shared" si="25"/>
        <v>23.76483294726221</v>
      </c>
      <c r="I115" s="25">
        <f t="shared" si="26"/>
        <v>20.000000000000004</v>
      </c>
      <c r="J115" s="26">
        <f t="shared" si="27"/>
        <v>3.137360789385169</v>
      </c>
    </row>
    <row r="116" spans="1:10" ht="12.75">
      <c r="A116" s="22" t="s">
        <v>312</v>
      </c>
      <c r="B116" s="23">
        <v>294.922</v>
      </c>
      <c r="C116" s="23">
        <v>50.562</v>
      </c>
      <c r="D116" s="30">
        <f t="shared" si="23"/>
        <v>5832.878446263993</v>
      </c>
      <c r="E116" s="23">
        <v>502.627</v>
      </c>
      <c r="F116" s="23">
        <v>80.125</v>
      </c>
      <c r="G116" s="30">
        <f t="shared" si="24"/>
        <v>6273.035881435258</v>
      </c>
      <c r="H116" s="25">
        <f t="shared" si="25"/>
        <v>-41.323884311825665</v>
      </c>
      <c r="I116" s="25">
        <f t="shared" si="26"/>
        <v>-36.89609984399376</v>
      </c>
      <c r="J116" s="26">
        <f t="shared" si="27"/>
        <v>-7.016657380741097</v>
      </c>
    </row>
    <row r="117" spans="1:10" ht="12.75">
      <c r="A117" s="22" t="s">
        <v>322</v>
      </c>
      <c r="B117" s="751">
        <v>141.295</v>
      </c>
      <c r="C117" s="23">
        <v>21.208</v>
      </c>
      <c r="D117" s="30">
        <f t="shared" si="23"/>
        <v>6662.344398340249</v>
      </c>
      <c r="E117" s="23">
        <v>150.655</v>
      </c>
      <c r="F117" s="23">
        <v>21.945</v>
      </c>
      <c r="G117" s="30">
        <f t="shared" si="24"/>
        <v>6865.1173388015495</v>
      </c>
      <c r="H117" s="25">
        <f t="shared" si="25"/>
        <v>-6.21287046563341</v>
      </c>
      <c r="I117" s="25">
        <f t="shared" si="26"/>
        <v>-3.358395989974946</v>
      </c>
      <c r="J117" s="26">
        <f t="shared" si="27"/>
        <v>-2.9536704247606984</v>
      </c>
    </row>
    <row r="118" spans="1:10" ht="12.75">
      <c r="A118" s="22" t="s">
        <v>328</v>
      </c>
      <c r="B118" s="23">
        <v>96.149</v>
      </c>
      <c r="C118" s="23">
        <v>5.958</v>
      </c>
      <c r="D118" s="30">
        <f t="shared" si="23"/>
        <v>16137.797918764685</v>
      </c>
      <c r="E118" s="23">
        <v>92.718</v>
      </c>
      <c r="F118" s="23">
        <v>4.5</v>
      </c>
      <c r="G118" s="30">
        <f t="shared" si="24"/>
        <v>20604</v>
      </c>
      <c r="H118" s="25">
        <f t="shared" si="25"/>
        <v>3.700468086024286</v>
      </c>
      <c r="I118" s="25">
        <f t="shared" si="26"/>
        <v>32.400000000000006</v>
      </c>
      <c r="J118" s="26">
        <f t="shared" si="27"/>
        <v>-21.676383620827583</v>
      </c>
    </row>
    <row r="119" spans="1:10" ht="12.75">
      <c r="A119" s="22" t="s">
        <v>324</v>
      </c>
      <c r="B119" s="23">
        <v>59.485</v>
      </c>
      <c r="C119" s="23">
        <v>4.072</v>
      </c>
      <c r="D119" s="30">
        <f t="shared" si="23"/>
        <v>14608.300589390963</v>
      </c>
      <c r="E119" s="23">
        <v>94.89</v>
      </c>
      <c r="F119" s="23">
        <v>5.692</v>
      </c>
      <c r="G119" s="30">
        <f t="shared" si="24"/>
        <v>16670.765987350667</v>
      </c>
      <c r="H119" s="25">
        <f t="shared" si="25"/>
        <v>-37.311623985667616</v>
      </c>
      <c r="I119" s="25">
        <f t="shared" si="26"/>
        <v>-28.460997891777932</v>
      </c>
      <c r="J119" s="26">
        <f t="shared" si="27"/>
        <v>-12.371749441655219</v>
      </c>
    </row>
    <row r="120" spans="1:10" ht="12.75">
      <c r="A120" s="22" t="s">
        <v>343</v>
      </c>
      <c r="B120" s="23">
        <v>22.609</v>
      </c>
      <c r="C120" s="23">
        <v>2.926</v>
      </c>
      <c r="D120" s="30">
        <f t="shared" si="23"/>
        <v>7726.9309637730685</v>
      </c>
      <c r="E120" s="23">
        <v>5.633</v>
      </c>
      <c r="F120" s="751">
        <v>0.888</v>
      </c>
      <c r="G120" s="30">
        <f t="shared" si="24"/>
        <v>6343.468468468468</v>
      </c>
      <c r="H120" s="25">
        <f t="shared" si="25"/>
        <v>301.3669447896326</v>
      </c>
      <c r="I120" s="25">
        <f t="shared" si="26"/>
        <v>229.50450450450452</v>
      </c>
      <c r="J120" s="26">
        <f t="shared" si="27"/>
        <v>21.809243668213835</v>
      </c>
    </row>
    <row r="121" spans="1:10" ht="12.75">
      <c r="A121" s="837" t="s">
        <v>488</v>
      </c>
      <c r="B121" s="23">
        <v>18.579</v>
      </c>
      <c r="C121" s="23">
        <v>0.16</v>
      </c>
      <c r="D121" s="30">
        <f>(B121*1000)/C121</f>
        <v>116118.75</v>
      </c>
      <c r="E121" s="23">
        <v>0</v>
      </c>
      <c r="F121" s="23">
        <v>0</v>
      </c>
      <c r="G121" s="30">
        <v>0</v>
      </c>
      <c r="H121" s="23">
        <v>0</v>
      </c>
      <c r="I121" s="23">
        <v>0</v>
      </c>
      <c r="J121" s="35">
        <v>0</v>
      </c>
    </row>
    <row r="122" spans="1:10" ht="12.75">
      <c r="A122" s="22" t="s">
        <v>321</v>
      </c>
      <c r="B122" s="23">
        <v>6.363</v>
      </c>
      <c r="C122" s="23">
        <v>0.08</v>
      </c>
      <c r="D122" s="30">
        <f t="shared" si="23"/>
        <v>79537.5</v>
      </c>
      <c r="E122" s="23">
        <v>13.238</v>
      </c>
      <c r="F122" s="23">
        <v>1.821</v>
      </c>
      <c r="G122" s="30">
        <f>(E122*1000)/F122</f>
        <v>7269.632070291049</v>
      </c>
      <c r="H122" s="25">
        <f>SUM(B122-E122)*100/E122</f>
        <v>-51.933826862063746</v>
      </c>
      <c r="I122" s="25">
        <f>SUM(C122-F122)*100/F122</f>
        <v>-95.60680944535969</v>
      </c>
      <c r="J122" s="26">
        <f>SUM(D122-G122)*100/G122</f>
        <v>994.1062660522739</v>
      </c>
    </row>
    <row r="123" spans="1:10" ht="12.75">
      <c r="A123" s="22" t="s">
        <v>401</v>
      </c>
      <c r="B123" s="23">
        <v>4.353</v>
      </c>
      <c r="C123" s="23">
        <v>0.4</v>
      </c>
      <c r="D123" s="30">
        <f t="shared" si="23"/>
        <v>10882.5</v>
      </c>
      <c r="E123" s="23">
        <v>0</v>
      </c>
      <c r="F123" s="23">
        <v>0</v>
      </c>
      <c r="G123" s="30">
        <v>0</v>
      </c>
      <c r="H123" s="23">
        <v>0</v>
      </c>
      <c r="I123" s="23">
        <v>0</v>
      </c>
      <c r="J123" s="35">
        <v>0</v>
      </c>
    </row>
    <row r="124" spans="1:10" ht="12.75">
      <c r="A124" s="293" t="s">
        <v>134</v>
      </c>
      <c r="B124" s="294">
        <f>SUM(B110:B123)</f>
        <v>17743.16</v>
      </c>
      <c r="C124" s="294">
        <f>SUM(C110:C123)</f>
        <v>2782.7819999999997</v>
      </c>
      <c r="D124" s="295">
        <f t="shared" si="23"/>
        <v>6376.051016572625</v>
      </c>
      <c r="E124" s="294">
        <f>SUM(E110:E123)</f>
        <v>24842.708000000002</v>
      </c>
      <c r="F124" s="294">
        <f>SUM(F110:F123)</f>
        <v>4246.887</v>
      </c>
      <c r="G124" s="295">
        <f>(E124*1000)/F124</f>
        <v>5849.627739094542</v>
      </c>
      <c r="H124" s="296">
        <f aca="true" t="shared" si="28" ref="H124:J126">SUM(B124-E124)*100/E124</f>
        <v>-28.577995603377868</v>
      </c>
      <c r="I124" s="296">
        <f t="shared" si="28"/>
        <v>-34.47478117501125</v>
      </c>
      <c r="J124" s="297">
        <f t="shared" si="28"/>
        <v>8.999261165968942</v>
      </c>
    </row>
    <row r="125" spans="1:10" ht="12.75">
      <c r="A125" s="31" t="s">
        <v>157</v>
      </c>
      <c r="B125" s="32">
        <f>B126-B124</f>
        <v>14447.616000000002</v>
      </c>
      <c r="C125" s="32">
        <f>C126-C124</f>
        <v>2856.1964000000003</v>
      </c>
      <c r="D125" s="30">
        <v>0</v>
      </c>
      <c r="E125" s="32">
        <f>E126-E124</f>
        <v>15374.291999999998</v>
      </c>
      <c r="F125" s="32">
        <f>F126-F124</f>
        <v>2745.7310000000007</v>
      </c>
      <c r="G125" s="30">
        <f>(E125*1000)/F125</f>
        <v>5599.343854150314</v>
      </c>
      <c r="H125" s="25">
        <f t="shared" si="28"/>
        <v>-6.027438531803584</v>
      </c>
      <c r="I125" s="25">
        <f t="shared" si="28"/>
        <v>4.023169057711756</v>
      </c>
      <c r="J125" s="26">
        <f t="shared" si="28"/>
        <v>-100</v>
      </c>
    </row>
    <row r="126" spans="1:10" ht="12.75">
      <c r="A126" s="298" t="s">
        <v>158</v>
      </c>
      <c r="B126" s="299">
        <f>B9</f>
        <v>32190.776</v>
      </c>
      <c r="C126" s="299">
        <f>C9</f>
        <v>5638.9784</v>
      </c>
      <c r="D126" s="300">
        <f>(B126*1000)/C126</f>
        <v>5708.618426344744</v>
      </c>
      <c r="E126" s="271">
        <f>E9</f>
        <v>40217</v>
      </c>
      <c r="F126" s="271">
        <f>F9</f>
        <v>6992.618</v>
      </c>
      <c r="G126" s="300">
        <f>(E126*1000)/F126</f>
        <v>5751.350924646534</v>
      </c>
      <c r="H126" s="281">
        <f t="shared" si="28"/>
        <v>-19.957291692567814</v>
      </c>
      <c r="I126" s="281">
        <f t="shared" si="28"/>
        <v>-19.358123094955285</v>
      </c>
      <c r="J126" s="301">
        <f t="shared" si="28"/>
        <v>-0.7429993207103077</v>
      </c>
    </row>
    <row r="127" spans="1:10" ht="12.75">
      <c r="A127" s="275" t="s">
        <v>121</v>
      </c>
      <c r="B127" s="3"/>
      <c r="C127" s="3"/>
      <c r="D127" s="3"/>
      <c r="E127" s="3"/>
      <c r="F127" s="3"/>
      <c r="G127" s="21"/>
      <c r="H127" s="3"/>
      <c r="I127" s="3"/>
      <c r="J127" s="3"/>
    </row>
    <row r="128" spans="1:10" ht="12.75">
      <c r="A128" s="466"/>
      <c r="B128" s="466"/>
      <c r="C128" s="466"/>
      <c r="D128" s="466"/>
      <c r="E128" s="466"/>
      <c r="F128" s="466"/>
      <c r="G128" s="467"/>
      <c r="H128" s="466"/>
      <c r="I128" s="466"/>
      <c r="J128" s="466"/>
    </row>
  </sheetData>
  <sheetProtection/>
  <mergeCells count="38">
    <mergeCell ref="A101:J101"/>
    <mergeCell ref="A102:J102"/>
    <mergeCell ref="A104:C104"/>
    <mergeCell ref="A106:A107"/>
    <mergeCell ref="B106:D106"/>
    <mergeCell ref="E106:G106"/>
    <mergeCell ref="H106:J106"/>
    <mergeCell ref="H107:J107"/>
    <mergeCell ref="A73:J73"/>
    <mergeCell ref="A74:J74"/>
    <mergeCell ref="A76:C76"/>
    <mergeCell ref="A78:A79"/>
    <mergeCell ref="B78:D78"/>
    <mergeCell ref="E78:G78"/>
    <mergeCell ref="H78:J78"/>
    <mergeCell ref="H79:J79"/>
    <mergeCell ref="A46:J46"/>
    <mergeCell ref="A47:J47"/>
    <mergeCell ref="A49:C49"/>
    <mergeCell ref="A51:A52"/>
    <mergeCell ref="B51:D51"/>
    <mergeCell ref="E51:G51"/>
    <mergeCell ref="H51:J51"/>
    <mergeCell ref="H52:J52"/>
    <mergeCell ref="A19:J19"/>
    <mergeCell ref="A20:J20"/>
    <mergeCell ref="A22:C22"/>
    <mergeCell ref="A24:A25"/>
    <mergeCell ref="B24:D24"/>
    <mergeCell ref="E24:G24"/>
    <mergeCell ref="H24:J24"/>
    <mergeCell ref="H25:J25"/>
    <mergeCell ref="A1:J1"/>
    <mergeCell ref="A3:A4"/>
    <mergeCell ref="B3:D3"/>
    <mergeCell ref="E3:G3"/>
    <mergeCell ref="H3:J3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.7109375" style="0" customWidth="1"/>
    <col min="2" max="2" width="126.421875" style="0" customWidth="1"/>
    <col min="3" max="3" width="2.7109375" style="0" customWidth="1"/>
    <col min="4" max="4" width="8.8515625" style="0" bestFit="1" customWidth="1"/>
  </cols>
  <sheetData>
    <row r="1" spans="1:3" ht="16.5" customHeight="1">
      <c r="A1" s="69"/>
      <c r="B1" s="331"/>
      <c r="C1" s="69"/>
    </row>
    <row r="2" spans="1:3" ht="13.5" customHeight="1">
      <c r="A2" s="71"/>
      <c r="B2" s="437"/>
      <c r="C2" s="70"/>
    </row>
    <row r="3" spans="1:3" ht="16.5" customHeight="1">
      <c r="A3" s="71"/>
      <c r="B3" s="442" t="s">
        <v>383</v>
      </c>
      <c r="C3" s="70"/>
    </row>
    <row r="4" spans="1:3" ht="16.5" customHeight="1">
      <c r="A4" s="71"/>
      <c r="B4" s="442" t="s">
        <v>352</v>
      </c>
      <c r="C4" s="70"/>
    </row>
    <row r="5" spans="1:3" ht="16.5" customHeight="1">
      <c r="A5" s="71"/>
      <c r="B5" s="442" t="s">
        <v>353</v>
      </c>
      <c r="C5" s="70"/>
    </row>
    <row r="6" spans="1:3" ht="16.5" customHeight="1">
      <c r="A6" s="71"/>
      <c r="B6" s="442"/>
      <c r="C6" s="70"/>
    </row>
    <row r="7" spans="1:3" ht="16.5" customHeight="1">
      <c r="A7" s="71"/>
      <c r="B7" s="443" t="s">
        <v>355</v>
      </c>
      <c r="C7" s="70"/>
    </row>
    <row r="8" spans="1:3" ht="16.5" customHeight="1">
      <c r="A8" s="71"/>
      <c r="B8" s="443" t="s">
        <v>356</v>
      </c>
      <c r="C8" s="70"/>
    </row>
    <row r="9" spans="1:3" ht="16.5" customHeight="1">
      <c r="A9" s="71"/>
      <c r="B9" s="443" t="s">
        <v>357</v>
      </c>
      <c r="C9" s="70"/>
    </row>
    <row r="10" spans="1:3" ht="16.5" customHeight="1">
      <c r="A10" s="71"/>
      <c r="B10" s="443" t="s">
        <v>358</v>
      </c>
      <c r="C10" s="70"/>
    </row>
    <row r="11" spans="1:3" ht="16.5" customHeight="1">
      <c r="A11" s="71"/>
      <c r="B11" s="438"/>
      <c r="C11" s="70"/>
    </row>
    <row r="12" spans="1:3" ht="16.5" customHeight="1">
      <c r="A12" s="71"/>
      <c r="B12" s="443" t="s">
        <v>359</v>
      </c>
      <c r="C12" s="70"/>
    </row>
    <row r="13" spans="1:3" ht="16.5" customHeight="1">
      <c r="A13" s="71"/>
      <c r="B13" s="443" t="s">
        <v>360</v>
      </c>
      <c r="C13" s="70"/>
    </row>
    <row r="14" spans="1:3" ht="16.5" customHeight="1">
      <c r="A14" s="71"/>
      <c r="B14" s="444" t="s">
        <v>361</v>
      </c>
      <c r="C14" s="70"/>
    </row>
    <row r="15" spans="1:3" ht="16.5" customHeight="1">
      <c r="A15" s="71"/>
      <c r="B15" s="444"/>
      <c r="C15" s="70"/>
    </row>
    <row r="16" spans="1:3" ht="16.5" customHeight="1">
      <c r="A16" s="71"/>
      <c r="B16" s="444" t="s">
        <v>377</v>
      </c>
      <c r="C16" s="70"/>
    </row>
    <row r="17" spans="1:3" ht="16.5" customHeight="1">
      <c r="A17" s="71"/>
      <c r="B17" s="444" t="s">
        <v>362</v>
      </c>
      <c r="C17" s="70"/>
    </row>
    <row r="18" spans="1:3" ht="16.5" customHeight="1">
      <c r="A18" s="71"/>
      <c r="B18" s="443" t="s">
        <v>363</v>
      </c>
      <c r="C18" s="70"/>
    </row>
    <row r="19" spans="1:3" ht="16.5" customHeight="1">
      <c r="A19" s="71"/>
      <c r="B19" s="443" t="s">
        <v>364</v>
      </c>
      <c r="C19" s="70"/>
    </row>
    <row r="20" spans="1:3" ht="16.5" customHeight="1">
      <c r="A20" s="71"/>
      <c r="B20" s="443" t="s">
        <v>365</v>
      </c>
      <c r="C20" s="70"/>
    </row>
    <row r="21" spans="1:3" ht="16.5" customHeight="1">
      <c r="A21" s="71"/>
      <c r="B21" s="445" t="s">
        <v>366</v>
      </c>
      <c r="C21" s="70"/>
    </row>
    <row r="22" spans="1:3" ht="16.5" customHeight="1">
      <c r="A22" s="71"/>
      <c r="B22" s="445" t="s">
        <v>367</v>
      </c>
      <c r="C22" s="70"/>
    </row>
    <row r="23" spans="1:3" ht="16.5" customHeight="1">
      <c r="A23" s="71"/>
      <c r="B23" s="445" t="s">
        <v>368</v>
      </c>
      <c r="C23" s="70"/>
    </row>
    <row r="24" spans="1:3" ht="16.5" customHeight="1">
      <c r="A24" s="71"/>
      <c r="B24" s="445" t="s">
        <v>369</v>
      </c>
      <c r="C24" s="70"/>
    </row>
    <row r="25" spans="1:3" ht="16.5" customHeight="1">
      <c r="A25" s="71"/>
      <c r="B25" s="445" t="s">
        <v>370</v>
      </c>
      <c r="C25" s="70"/>
    </row>
    <row r="26" spans="1:3" ht="11.25" customHeight="1">
      <c r="A26" s="71"/>
      <c r="B26" s="446" t="s">
        <v>371</v>
      </c>
      <c r="C26" s="70"/>
    </row>
    <row r="27" spans="1:3" ht="16.5" customHeight="1">
      <c r="A27" s="71"/>
      <c r="B27" s="445" t="s">
        <v>372</v>
      </c>
      <c r="C27" s="71"/>
    </row>
    <row r="28" spans="1:3" ht="16.5" customHeight="1">
      <c r="A28" s="71"/>
      <c r="B28" s="441"/>
      <c r="C28" s="71"/>
    </row>
    <row r="29" spans="1:4" ht="16.5" customHeight="1">
      <c r="A29" s="70"/>
      <c r="B29" s="70"/>
      <c r="C29" s="70"/>
      <c r="D29" s="61"/>
    </row>
    <row r="30" ht="15">
      <c r="D30" s="61"/>
    </row>
    <row r="31" ht="15">
      <c r="D31" s="61"/>
    </row>
    <row r="32" ht="15">
      <c r="D32" s="61"/>
    </row>
    <row r="33" ht="15">
      <c r="D33" s="61"/>
    </row>
  </sheetData>
  <sheetProtection/>
  <hyperlinks>
    <hyperlink ref="B26" r:id="rId1" display="http://www.agricultura.gov.br/vegetal/estatisticas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.7109375" style="0" customWidth="1"/>
    <col min="2" max="2" width="12.140625" style="0" customWidth="1"/>
    <col min="3" max="3" width="22.421875" style="0" customWidth="1"/>
    <col min="4" max="9" width="13.7109375" style="0" customWidth="1"/>
    <col min="10" max="10" width="10.57421875" style="0" customWidth="1"/>
    <col min="11" max="11" width="2.7109375" style="0" customWidth="1"/>
  </cols>
  <sheetData>
    <row r="1" spans="1:11" ht="15" customHeight="1">
      <c r="A1" s="69"/>
      <c r="B1" s="77"/>
      <c r="C1" s="77"/>
      <c r="D1" s="77"/>
      <c r="E1" s="77"/>
      <c r="F1" s="77"/>
      <c r="G1" s="77"/>
      <c r="H1" s="77"/>
      <c r="I1" s="77"/>
      <c r="J1" s="72"/>
      <c r="K1" s="70"/>
    </row>
    <row r="2" spans="1:11" ht="18" customHeight="1">
      <c r="A2" s="71"/>
      <c r="B2" s="335"/>
      <c r="C2" s="465"/>
      <c r="D2" s="465"/>
      <c r="E2" s="465"/>
      <c r="F2" s="465"/>
      <c r="G2" s="465"/>
      <c r="H2" s="465"/>
      <c r="I2" s="465"/>
      <c r="J2" s="336"/>
      <c r="K2" s="71"/>
    </row>
    <row r="3" spans="1:11" ht="18" customHeight="1">
      <c r="A3" s="71"/>
      <c r="B3" s="190"/>
      <c r="C3" s="141"/>
      <c r="D3" s="141"/>
      <c r="E3" s="141"/>
      <c r="F3" s="141"/>
      <c r="G3" s="141"/>
      <c r="H3" s="141"/>
      <c r="I3" s="141"/>
      <c r="J3" s="146"/>
      <c r="K3" s="71"/>
    </row>
    <row r="4" spans="1:11" ht="18" customHeight="1">
      <c r="A4" s="71"/>
      <c r="B4" s="999" t="s">
        <v>164</v>
      </c>
      <c r="C4" s="1000"/>
      <c r="D4" s="1000"/>
      <c r="E4" s="1000"/>
      <c r="F4" s="1000"/>
      <c r="G4" s="1000"/>
      <c r="H4" s="1000"/>
      <c r="I4" s="1000"/>
      <c r="J4" s="1001"/>
      <c r="K4" s="70"/>
    </row>
    <row r="5" spans="1:11" ht="24.75" customHeight="1" thickBot="1">
      <c r="A5" s="71"/>
      <c r="B5" s="999"/>
      <c r="C5" s="1000"/>
      <c r="D5" s="1000"/>
      <c r="E5" s="1000"/>
      <c r="F5" s="1000"/>
      <c r="G5" s="1000"/>
      <c r="H5" s="1000"/>
      <c r="I5" s="1000"/>
      <c r="J5" s="1001"/>
      <c r="K5" s="70"/>
    </row>
    <row r="6" spans="1:11" ht="18" customHeight="1">
      <c r="A6" s="71"/>
      <c r="B6" s="458"/>
      <c r="C6" s="945" t="s">
        <v>89</v>
      </c>
      <c r="D6" s="997" t="s">
        <v>483</v>
      </c>
      <c r="E6" s="998"/>
      <c r="F6" s="997" t="s">
        <v>484</v>
      </c>
      <c r="G6" s="998"/>
      <c r="H6" s="951" t="s">
        <v>110</v>
      </c>
      <c r="I6" s="1002"/>
      <c r="J6" s="146"/>
      <c r="K6" s="70"/>
    </row>
    <row r="7" spans="1:11" ht="18" customHeight="1">
      <c r="A7" s="71"/>
      <c r="B7" s="458"/>
      <c r="C7" s="946"/>
      <c r="D7" s="364" t="s">
        <v>111</v>
      </c>
      <c r="E7" s="364" t="s">
        <v>422</v>
      </c>
      <c r="F7" s="364" t="s">
        <v>111</v>
      </c>
      <c r="G7" s="364" t="s">
        <v>422</v>
      </c>
      <c r="H7" s="953" t="s">
        <v>306</v>
      </c>
      <c r="I7" s="954"/>
      <c r="J7" s="146"/>
      <c r="K7" s="70"/>
    </row>
    <row r="8" spans="1:11" ht="18" customHeight="1" thickBot="1">
      <c r="A8" s="71"/>
      <c r="B8" s="458"/>
      <c r="C8" s="267"/>
      <c r="D8" s="365" t="s">
        <v>116</v>
      </c>
      <c r="E8" s="365" t="s">
        <v>115</v>
      </c>
      <c r="F8" s="365" t="s">
        <v>116</v>
      </c>
      <c r="G8" s="365" t="s">
        <v>115</v>
      </c>
      <c r="H8" s="365" t="s">
        <v>111</v>
      </c>
      <c r="I8" s="366" t="s">
        <v>422</v>
      </c>
      <c r="J8" s="146"/>
      <c r="K8" s="70"/>
    </row>
    <row r="9" spans="1:11" ht="18" customHeight="1">
      <c r="A9" s="71"/>
      <c r="B9" s="338"/>
      <c r="C9" s="838" t="s">
        <v>15</v>
      </c>
      <c r="D9" s="817">
        <v>28836</v>
      </c>
      <c r="E9" s="817">
        <v>942</v>
      </c>
      <c r="F9" s="817">
        <v>34635</v>
      </c>
      <c r="G9" s="817">
        <v>257</v>
      </c>
      <c r="H9" s="839">
        <f aca="true" t="shared" si="0" ref="H9:I14">SUM(D9-F9)*100/F9</f>
        <v>-16.74317886530966</v>
      </c>
      <c r="I9" s="840">
        <f t="shared" si="0"/>
        <v>266.5369649805447</v>
      </c>
      <c r="J9" s="146"/>
      <c r="K9" s="70"/>
    </row>
    <row r="10" spans="1:11" ht="18" customHeight="1">
      <c r="A10" s="71"/>
      <c r="B10" s="338"/>
      <c r="C10" s="838" t="s">
        <v>117</v>
      </c>
      <c r="D10" s="817">
        <v>264665</v>
      </c>
      <c r="E10" s="817">
        <v>1102.87</v>
      </c>
      <c r="F10" s="817">
        <v>85919</v>
      </c>
      <c r="G10" s="817">
        <v>377.17</v>
      </c>
      <c r="H10" s="839">
        <f t="shared" si="0"/>
        <v>208.04013082088943</v>
      </c>
      <c r="I10" s="840">
        <f t="shared" si="0"/>
        <v>192.40660710024653</v>
      </c>
      <c r="J10" s="146"/>
      <c r="K10" s="70"/>
    </row>
    <row r="11" spans="1:11" ht="18" customHeight="1">
      <c r="A11" s="71"/>
      <c r="B11" s="338"/>
      <c r="C11" s="838" t="s">
        <v>165</v>
      </c>
      <c r="D11" s="817">
        <v>60381597</v>
      </c>
      <c r="E11" s="817">
        <v>70089.51</v>
      </c>
      <c r="F11" s="817">
        <v>40989194</v>
      </c>
      <c r="G11" s="817">
        <v>40538.7</v>
      </c>
      <c r="H11" s="841">
        <f t="shared" si="0"/>
        <v>47.31101323924545</v>
      </c>
      <c r="I11" s="842">
        <f t="shared" si="0"/>
        <v>72.8953074469581</v>
      </c>
      <c r="J11" s="146"/>
      <c r="K11" s="70"/>
    </row>
    <row r="12" spans="1:11" ht="18" customHeight="1">
      <c r="A12" s="71"/>
      <c r="B12" s="338"/>
      <c r="C12" s="843" t="s">
        <v>119</v>
      </c>
      <c r="D12" s="844">
        <v>14860177</v>
      </c>
      <c r="E12" s="844">
        <v>58079</v>
      </c>
      <c r="F12" s="844">
        <v>10255400</v>
      </c>
      <c r="G12" s="844">
        <v>37380</v>
      </c>
      <c r="H12" s="845">
        <f t="shared" si="0"/>
        <v>44.90099849835209</v>
      </c>
      <c r="I12" s="846">
        <f t="shared" si="0"/>
        <v>55.37453183520599</v>
      </c>
      <c r="J12" s="146"/>
      <c r="K12" s="70"/>
    </row>
    <row r="13" spans="1:11" ht="18" customHeight="1" thickBot="1">
      <c r="A13" s="71"/>
      <c r="B13" s="338"/>
      <c r="C13" s="804" t="s">
        <v>310</v>
      </c>
      <c r="D13" s="822">
        <v>2389</v>
      </c>
      <c r="E13" s="822">
        <v>20</v>
      </c>
      <c r="F13" s="822">
        <v>1260</v>
      </c>
      <c r="G13" s="822">
        <v>8.23</v>
      </c>
      <c r="H13" s="851">
        <f t="shared" si="0"/>
        <v>89.60317460317461</v>
      </c>
      <c r="I13" s="852">
        <f t="shared" si="0"/>
        <v>143.01336573511543</v>
      </c>
      <c r="J13" s="146"/>
      <c r="K13" s="70"/>
    </row>
    <row r="14" spans="1:11" ht="18" customHeight="1" thickBot="1">
      <c r="A14" s="71"/>
      <c r="B14" s="338"/>
      <c r="C14" s="805" t="s">
        <v>120</v>
      </c>
      <c r="D14" s="853">
        <f>SUM(D9:D13)</f>
        <v>75537664</v>
      </c>
      <c r="E14" s="853">
        <f>SUM(E9:E13)</f>
        <v>130233.37999999999</v>
      </c>
      <c r="F14" s="853">
        <f>SUM(F9:F13)</f>
        <v>51366408</v>
      </c>
      <c r="G14" s="853">
        <f>SUM(G9:G13)</f>
        <v>78561.09999999999</v>
      </c>
      <c r="H14" s="854">
        <f t="shared" si="0"/>
        <v>47.056543256830416</v>
      </c>
      <c r="I14" s="855">
        <f t="shared" si="0"/>
        <v>65.77336620795789</v>
      </c>
      <c r="J14" s="146"/>
      <c r="K14" s="70"/>
    </row>
    <row r="15" spans="1:11" ht="18" customHeight="1" thickBot="1">
      <c r="A15" s="71"/>
      <c r="B15" s="338"/>
      <c r="C15" s="224"/>
      <c r="D15" s="224"/>
      <c r="E15" s="224"/>
      <c r="F15" s="225"/>
      <c r="G15" s="225"/>
      <c r="H15" s="225"/>
      <c r="I15" s="226"/>
      <c r="J15" s="146"/>
      <c r="K15" s="70"/>
    </row>
    <row r="16" spans="1:11" ht="18" customHeight="1">
      <c r="A16" s="71"/>
      <c r="B16" s="338"/>
      <c r="C16" s="945" t="s">
        <v>89</v>
      </c>
      <c r="D16" s="997" t="s">
        <v>421</v>
      </c>
      <c r="E16" s="998"/>
      <c r="F16" s="997" t="s">
        <v>341</v>
      </c>
      <c r="G16" s="998"/>
      <c r="H16" s="997" t="s">
        <v>340</v>
      </c>
      <c r="I16" s="998"/>
      <c r="J16" s="146"/>
      <c r="K16" s="70"/>
    </row>
    <row r="17" spans="1:11" ht="18" customHeight="1">
      <c r="A17" s="71"/>
      <c r="B17" s="338"/>
      <c r="C17" s="946"/>
      <c r="D17" s="364" t="s">
        <v>111</v>
      </c>
      <c r="E17" s="364" t="s">
        <v>422</v>
      </c>
      <c r="F17" s="364" t="s">
        <v>111</v>
      </c>
      <c r="G17" s="364" t="s">
        <v>422</v>
      </c>
      <c r="H17" s="364" t="s">
        <v>111</v>
      </c>
      <c r="I17" s="523" t="s">
        <v>422</v>
      </c>
      <c r="J17" s="146"/>
      <c r="K17" s="70"/>
    </row>
    <row r="18" spans="1:11" ht="18" customHeight="1" thickBot="1">
      <c r="A18" s="71"/>
      <c r="B18" s="338"/>
      <c r="C18" s="267"/>
      <c r="D18" s="365" t="s">
        <v>116</v>
      </c>
      <c r="E18" s="365" t="s">
        <v>115</v>
      </c>
      <c r="F18" s="365" t="s">
        <v>116</v>
      </c>
      <c r="G18" s="365" t="s">
        <v>115</v>
      </c>
      <c r="H18" s="365" t="s">
        <v>116</v>
      </c>
      <c r="I18" s="366" t="s">
        <v>115</v>
      </c>
      <c r="J18" s="146"/>
      <c r="K18" s="70"/>
    </row>
    <row r="19" spans="1:11" ht="18" customHeight="1">
      <c r="A19" s="71"/>
      <c r="B19" s="338"/>
      <c r="C19" s="19" t="s">
        <v>15</v>
      </c>
      <c r="D19" s="20">
        <v>15089</v>
      </c>
      <c r="E19" s="20">
        <v>38</v>
      </c>
      <c r="F19" s="20">
        <v>139325</v>
      </c>
      <c r="G19" s="20">
        <v>500</v>
      </c>
      <c r="H19" s="36">
        <v>34635</v>
      </c>
      <c r="I19" s="524">
        <v>257</v>
      </c>
      <c r="J19" s="146"/>
      <c r="K19" s="70"/>
    </row>
    <row r="20" spans="1:11" ht="18" customHeight="1">
      <c r="A20" s="71"/>
      <c r="B20" s="338"/>
      <c r="C20" s="19" t="s">
        <v>117</v>
      </c>
      <c r="D20" s="20">
        <v>489790</v>
      </c>
      <c r="E20" s="20">
        <v>1171</v>
      </c>
      <c r="F20" s="20">
        <v>361438</v>
      </c>
      <c r="G20" s="20">
        <v>435</v>
      </c>
      <c r="H20" s="36">
        <v>95261</v>
      </c>
      <c r="I20" s="524">
        <v>578</v>
      </c>
      <c r="J20" s="146"/>
      <c r="K20" s="70"/>
    </row>
    <row r="21" spans="1:11" ht="18" customHeight="1">
      <c r="A21" s="71"/>
      <c r="B21" s="338"/>
      <c r="C21" s="19" t="s">
        <v>165</v>
      </c>
      <c r="D21" s="20">
        <v>35804035</v>
      </c>
      <c r="E21" s="20">
        <v>24367</v>
      </c>
      <c r="F21" s="20">
        <v>32092593</v>
      </c>
      <c r="G21" s="20">
        <v>32780</v>
      </c>
      <c r="H21" s="525">
        <v>47884086</v>
      </c>
      <c r="I21" s="526">
        <v>43141</v>
      </c>
      <c r="J21" s="146"/>
      <c r="K21" s="70"/>
    </row>
    <row r="22" spans="1:11" ht="18" customHeight="1">
      <c r="A22" s="71"/>
      <c r="B22" s="338"/>
      <c r="C22" s="266" t="s">
        <v>119</v>
      </c>
      <c r="D22" s="522">
        <v>5477182</v>
      </c>
      <c r="E22" s="522">
        <v>17878</v>
      </c>
      <c r="F22" s="522">
        <v>7538246</v>
      </c>
      <c r="G22" s="522">
        <v>28903</v>
      </c>
      <c r="H22" s="527">
        <v>11985311</v>
      </c>
      <c r="I22" s="528">
        <v>48577</v>
      </c>
      <c r="J22" s="146"/>
      <c r="K22" s="70"/>
    </row>
    <row r="23" spans="1:11" ht="18" customHeight="1" thickBot="1">
      <c r="A23" s="71"/>
      <c r="B23" s="338"/>
      <c r="C23" s="270" t="s">
        <v>310</v>
      </c>
      <c r="D23" s="20">
        <v>2062</v>
      </c>
      <c r="E23" s="20">
        <v>7</v>
      </c>
      <c r="F23" s="20">
        <v>1662</v>
      </c>
      <c r="G23" s="20">
        <v>6</v>
      </c>
      <c r="H23" s="36">
        <v>1260</v>
      </c>
      <c r="I23" s="524">
        <v>8</v>
      </c>
      <c r="J23" s="146"/>
      <c r="K23" s="70"/>
    </row>
    <row r="24" spans="1:11" ht="18" customHeight="1" thickBot="1">
      <c r="A24" s="71"/>
      <c r="B24" s="338"/>
      <c r="C24" s="367" t="s">
        <v>120</v>
      </c>
      <c r="D24" s="387">
        <f aca="true" t="shared" si="1" ref="D24:I24">SUM(D19:D23)</f>
        <v>41788158</v>
      </c>
      <c r="E24" s="387">
        <f t="shared" si="1"/>
        <v>43461</v>
      </c>
      <c r="F24" s="387">
        <f t="shared" si="1"/>
        <v>40133264</v>
      </c>
      <c r="G24" s="387">
        <f t="shared" si="1"/>
        <v>62624</v>
      </c>
      <c r="H24" s="529">
        <f t="shared" si="1"/>
        <v>60000553</v>
      </c>
      <c r="I24" s="530">
        <f t="shared" si="1"/>
        <v>92561</v>
      </c>
      <c r="J24" s="146"/>
      <c r="K24" s="70"/>
    </row>
    <row r="25" spans="1:11" ht="18" customHeight="1">
      <c r="A25" s="70"/>
      <c r="B25" s="338"/>
      <c r="C25" s="485" t="s">
        <v>121</v>
      </c>
      <c r="D25" s="224"/>
      <c r="E25" s="224"/>
      <c r="F25" s="225"/>
      <c r="G25" s="225"/>
      <c r="H25" s="225"/>
      <c r="I25" s="226"/>
      <c r="J25" s="146"/>
      <c r="K25" s="70"/>
    </row>
    <row r="26" spans="1:11" ht="9" customHeight="1">
      <c r="A26" s="70"/>
      <c r="B26" s="338"/>
      <c r="C26" s="485" t="s">
        <v>387</v>
      </c>
      <c r="D26" s="224"/>
      <c r="E26" s="224"/>
      <c r="F26" s="225"/>
      <c r="G26" s="225"/>
      <c r="H26" s="225"/>
      <c r="I26" s="226"/>
      <c r="J26" s="146"/>
      <c r="K26" s="70"/>
    </row>
    <row r="27" spans="1:11" ht="8.25" customHeight="1">
      <c r="A27" s="70"/>
      <c r="B27" s="127"/>
      <c r="C27" s="531"/>
      <c r="D27" s="532"/>
      <c r="E27" s="532"/>
      <c r="F27" s="533"/>
      <c r="G27" s="533"/>
      <c r="H27" s="533"/>
      <c r="I27" s="534"/>
      <c r="J27" s="147"/>
      <c r="K27" s="70"/>
    </row>
    <row r="28" spans="1:11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3:7" ht="12.75">
      <c r="C29" s="3"/>
      <c r="D29" s="3"/>
      <c r="E29" s="3"/>
      <c r="F29" s="3"/>
      <c r="G29" s="3"/>
    </row>
    <row r="30" spans="3:7" ht="12.75">
      <c r="C30" s="3"/>
      <c r="D30" s="3"/>
      <c r="E30" s="3"/>
      <c r="F30" s="3"/>
      <c r="G30" s="3"/>
    </row>
  </sheetData>
  <sheetProtection/>
  <mergeCells count="11">
    <mergeCell ref="C16:C17"/>
    <mergeCell ref="D16:E16"/>
    <mergeCell ref="F16:G16"/>
    <mergeCell ref="H16:I16"/>
    <mergeCell ref="B4:J4"/>
    <mergeCell ref="C6:C7"/>
    <mergeCell ref="D6:E6"/>
    <mergeCell ref="F6:G6"/>
    <mergeCell ref="B5:J5"/>
    <mergeCell ref="H6:I6"/>
    <mergeCell ref="H7:I7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36.421875" style="0" customWidth="1"/>
    <col min="4" max="4" width="15.8515625" style="0" customWidth="1"/>
    <col min="5" max="5" width="7.7109375" style="0" customWidth="1"/>
    <col min="6" max="6" width="10.7109375" style="0" customWidth="1"/>
    <col min="7" max="7" width="12.7109375" style="0" customWidth="1"/>
    <col min="8" max="8" width="7.7109375" style="0" customWidth="1"/>
    <col min="9" max="9" width="10.7109375" style="0" customWidth="1"/>
    <col min="10" max="11" width="12.7109375" style="0" customWidth="1"/>
    <col min="12" max="12" width="2.7109375" style="0" customWidth="1"/>
  </cols>
  <sheetData>
    <row r="1" spans="1:12" ht="13.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3"/>
    </row>
    <row r="2" spans="1:12" ht="15.75">
      <c r="A2" s="333"/>
      <c r="B2" s="335"/>
      <c r="C2" s="925"/>
      <c r="D2" s="925"/>
      <c r="E2" s="925"/>
      <c r="F2" s="925"/>
      <c r="G2" s="925"/>
      <c r="H2" s="925"/>
      <c r="I2" s="925"/>
      <c r="J2" s="925"/>
      <c r="K2" s="336"/>
      <c r="L2" s="333"/>
    </row>
    <row r="3" spans="1:12" ht="15.75">
      <c r="A3" s="333"/>
      <c r="B3" s="190"/>
      <c r="C3" s="925" t="s">
        <v>282</v>
      </c>
      <c r="D3" s="925"/>
      <c r="E3" s="925"/>
      <c r="F3" s="925"/>
      <c r="G3" s="925"/>
      <c r="H3" s="925"/>
      <c r="I3" s="925"/>
      <c r="J3" s="925"/>
      <c r="K3" s="146"/>
      <c r="L3" s="333"/>
    </row>
    <row r="4" spans="1:12" ht="18" customHeight="1" thickBot="1">
      <c r="A4" s="333"/>
      <c r="B4" s="190"/>
      <c r="C4" s="209"/>
      <c r="D4" s="209"/>
      <c r="E4" s="209"/>
      <c r="F4" s="209"/>
      <c r="G4" s="209"/>
      <c r="H4" s="209"/>
      <c r="I4" s="209"/>
      <c r="J4" s="209"/>
      <c r="K4" s="146"/>
      <c r="L4" s="333"/>
    </row>
    <row r="5" spans="1:12" ht="13.5" thickBot="1">
      <c r="A5" s="333"/>
      <c r="B5" s="190"/>
      <c r="C5" s="1005" t="s">
        <v>250</v>
      </c>
      <c r="D5" s="1007" t="s">
        <v>251</v>
      </c>
      <c r="E5" s="1009" t="s">
        <v>252</v>
      </c>
      <c r="F5" s="1003"/>
      <c r="G5" s="1010"/>
      <c r="H5" s="1003" t="s">
        <v>52</v>
      </c>
      <c r="I5" s="1003"/>
      <c r="J5" s="1003"/>
      <c r="K5" s="146"/>
      <c r="L5" s="333"/>
    </row>
    <row r="6" spans="1:12" ht="24.75" customHeight="1" thickBot="1">
      <c r="A6" s="333"/>
      <c r="B6" s="190"/>
      <c r="C6" s="1006"/>
      <c r="D6" s="1008"/>
      <c r="E6" s="211" t="s">
        <v>253</v>
      </c>
      <c r="F6" s="211" t="s">
        <v>254</v>
      </c>
      <c r="G6" s="211" t="s">
        <v>278</v>
      </c>
      <c r="H6" s="211" t="s">
        <v>253</v>
      </c>
      <c r="I6" s="211" t="s">
        <v>254</v>
      </c>
      <c r="J6" s="212" t="s">
        <v>278</v>
      </c>
      <c r="K6" s="146"/>
      <c r="L6" s="333"/>
    </row>
    <row r="7" spans="1:12" ht="26.25" customHeight="1">
      <c r="A7" s="333"/>
      <c r="B7" s="190"/>
      <c r="C7" s="213" t="s">
        <v>279</v>
      </c>
      <c r="D7" s="214" t="s">
        <v>255</v>
      </c>
      <c r="E7" s="215" t="s">
        <v>280</v>
      </c>
      <c r="F7" s="214" t="s">
        <v>256</v>
      </c>
      <c r="G7" s="368">
        <v>64</v>
      </c>
      <c r="H7" s="215" t="s">
        <v>286</v>
      </c>
      <c r="I7" s="215" t="s">
        <v>257</v>
      </c>
      <c r="J7" s="369">
        <v>113</v>
      </c>
      <c r="K7" s="146"/>
      <c r="L7" s="333"/>
    </row>
    <row r="8" spans="1:12" ht="22.5" customHeight="1">
      <c r="A8" s="333"/>
      <c r="B8" s="190"/>
      <c r="C8" s="216" t="s">
        <v>258</v>
      </c>
      <c r="D8" s="217" t="s">
        <v>259</v>
      </c>
      <c r="E8" s="218" t="s">
        <v>280</v>
      </c>
      <c r="F8" s="217" t="s">
        <v>256</v>
      </c>
      <c r="G8" s="370">
        <v>89</v>
      </c>
      <c r="H8" s="218" t="s">
        <v>286</v>
      </c>
      <c r="I8" s="217" t="s">
        <v>260</v>
      </c>
      <c r="J8" s="371">
        <v>157</v>
      </c>
      <c r="K8" s="146"/>
      <c r="L8" s="333"/>
    </row>
    <row r="9" spans="1:12" ht="22.5" customHeight="1">
      <c r="A9" s="333"/>
      <c r="B9" s="190"/>
      <c r="C9" s="216" t="s">
        <v>261</v>
      </c>
      <c r="D9" s="217" t="s">
        <v>262</v>
      </c>
      <c r="E9" s="218" t="s">
        <v>280</v>
      </c>
      <c r="F9" s="217" t="s">
        <v>256</v>
      </c>
      <c r="G9" s="370">
        <v>89</v>
      </c>
      <c r="H9" s="218" t="s">
        <v>286</v>
      </c>
      <c r="I9" s="217" t="s">
        <v>260</v>
      </c>
      <c r="J9" s="371">
        <v>157</v>
      </c>
      <c r="K9" s="146"/>
      <c r="L9" s="333"/>
    </row>
    <row r="10" spans="1:12" ht="22.5" customHeight="1">
      <c r="A10" s="333"/>
      <c r="B10" s="190"/>
      <c r="C10" s="216" t="s">
        <v>263</v>
      </c>
      <c r="D10" s="217" t="s">
        <v>264</v>
      </c>
      <c r="E10" s="218" t="s">
        <v>280</v>
      </c>
      <c r="F10" s="217" t="s">
        <v>256</v>
      </c>
      <c r="G10" s="370">
        <v>89</v>
      </c>
      <c r="H10" s="218" t="s">
        <v>286</v>
      </c>
      <c r="I10" s="217" t="s">
        <v>260</v>
      </c>
      <c r="J10" s="371">
        <v>157</v>
      </c>
      <c r="K10" s="146"/>
      <c r="L10" s="333"/>
    </row>
    <row r="11" spans="1:12" ht="22.5" customHeight="1">
      <c r="A11" s="333"/>
      <c r="B11" s="190"/>
      <c r="C11" s="216" t="s">
        <v>265</v>
      </c>
      <c r="D11" s="217" t="s">
        <v>266</v>
      </c>
      <c r="E11" s="218" t="s">
        <v>280</v>
      </c>
      <c r="F11" s="217" t="s">
        <v>256</v>
      </c>
      <c r="G11" s="370">
        <v>89</v>
      </c>
      <c r="H11" s="218" t="s">
        <v>286</v>
      </c>
      <c r="I11" s="217" t="s">
        <v>260</v>
      </c>
      <c r="J11" s="371">
        <v>157</v>
      </c>
      <c r="K11" s="146"/>
      <c r="L11" s="333"/>
    </row>
    <row r="12" spans="1:12" ht="22.5" customHeight="1">
      <c r="A12" s="333"/>
      <c r="B12" s="190"/>
      <c r="C12" s="216" t="s">
        <v>288</v>
      </c>
      <c r="D12" s="217" t="s">
        <v>267</v>
      </c>
      <c r="E12" s="218" t="s">
        <v>280</v>
      </c>
      <c r="F12" s="217" t="s">
        <v>256</v>
      </c>
      <c r="G12" s="370">
        <v>89</v>
      </c>
      <c r="H12" s="218" t="s">
        <v>286</v>
      </c>
      <c r="I12" s="217" t="s">
        <v>260</v>
      </c>
      <c r="J12" s="371">
        <v>157</v>
      </c>
      <c r="K12" s="146"/>
      <c r="L12" s="333"/>
    </row>
    <row r="13" spans="1:12" ht="22.5" customHeight="1">
      <c r="A13" s="333"/>
      <c r="B13" s="190"/>
      <c r="C13" s="216" t="s">
        <v>268</v>
      </c>
      <c r="D13" s="217" t="s">
        <v>269</v>
      </c>
      <c r="E13" s="218" t="s">
        <v>280</v>
      </c>
      <c r="F13" s="217" t="s">
        <v>256</v>
      </c>
      <c r="G13" s="370">
        <v>124.4</v>
      </c>
      <c r="H13" s="218" t="s">
        <v>286</v>
      </c>
      <c r="I13" s="217" t="s">
        <v>260</v>
      </c>
      <c r="J13" s="371">
        <v>211.75</v>
      </c>
      <c r="K13" s="146"/>
      <c r="L13" s="333"/>
    </row>
    <row r="14" spans="1:12" ht="36" customHeight="1">
      <c r="A14" s="333"/>
      <c r="B14" s="190"/>
      <c r="C14" s="219" t="s">
        <v>281</v>
      </c>
      <c r="D14" s="218" t="s">
        <v>270</v>
      </c>
      <c r="E14" s="218" t="s">
        <v>280</v>
      </c>
      <c r="F14" s="217" t="s">
        <v>256</v>
      </c>
      <c r="G14" s="370">
        <v>156.57</v>
      </c>
      <c r="H14" s="218" t="s">
        <v>286</v>
      </c>
      <c r="I14" s="217" t="s">
        <v>260</v>
      </c>
      <c r="J14" s="371">
        <v>261.69</v>
      </c>
      <c r="K14" s="146"/>
      <c r="L14" s="333"/>
    </row>
    <row r="15" spans="1:12" ht="22.5" customHeight="1">
      <c r="A15" s="333"/>
      <c r="B15" s="190"/>
      <c r="C15" s="216" t="s">
        <v>271</v>
      </c>
      <c r="D15" s="217" t="s">
        <v>270</v>
      </c>
      <c r="E15" s="218" t="s">
        <v>280</v>
      </c>
      <c r="F15" s="217" t="s">
        <v>256</v>
      </c>
      <c r="G15" s="370">
        <v>156.57</v>
      </c>
      <c r="H15" s="218" t="s">
        <v>286</v>
      </c>
      <c r="I15" s="218" t="s">
        <v>256</v>
      </c>
      <c r="J15" s="371">
        <v>261.69</v>
      </c>
      <c r="K15" s="146"/>
      <c r="L15" s="333"/>
    </row>
    <row r="16" spans="1:12" ht="25.5" customHeight="1">
      <c r="A16" s="333"/>
      <c r="B16" s="190"/>
      <c r="C16" s="216" t="s">
        <v>272</v>
      </c>
      <c r="D16" s="217" t="s">
        <v>273</v>
      </c>
      <c r="E16" s="218" t="s">
        <v>280</v>
      </c>
      <c r="F16" s="217" t="s">
        <v>256</v>
      </c>
      <c r="G16" s="370">
        <v>156.57</v>
      </c>
      <c r="H16" s="218" t="s">
        <v>286</v>
      </c>
      <c r="I16" s="218" t="s">
        <v>256</v>
      </c>
      <c r="J16" s="371">
        <v>261.69</v>
      </c>
      <c r="K16" s="146"/>
      <c r="L16" s="333"/>
    </row>
    <row r="17" spans="1:12" ht="22.5" customHeight="1">
      <c r="A17" s="333"/>
      <c r="B17" s="190"/>
      <c r="C17" s="216" t="s">
        <v>274</v>
      </c>
      <c r="D17" s="217" t="s">
        <v>275</v>
      </c>
      <c r="E17" s="218" t="s">
        <v>280</v>
      </c>
      <c r="F17" s="217" t="s">
        <v>256</v>
      </c>
      <c r="G17" s="370">
        <v>156.57</v>
      </c>
      <c r="H17" s="218" t="s">
        <v>286</v>
      </c>
      <c r="I17" s="218" t="s">
        <v>256</v>
      </c>
      <c r="J17" s="371">
        <v>307</v>
      </c>
      <c r="K17" s="146"/>
      <c r="L17" s="333"/>
    </row>
    <row r="18" spans="1:12" ht="22.5" customHeight="1">
      <c r="A18" s="333"/>
      <c r="B18" s="190"/>
      <c r="C18" s="216" t="s">
        <v>276</v>
      </c>
      <c r="D18" s="217" t="s">
        <v>277</v>
      </c>
      <c r="E18" s="218" t="s">
        <v>280</v>
      </c>
      <c r="F18" s="217" t="s">
        <v>256</v>
      </c>
      <c r="G18" s="370">
        <v>180.8</v>
      </c>
      <c r="H18" s="218" t="s">
        <v>286</v>
      </c>
      <c r="I18" s="218" t="s">
        <v>256</v>
      </c>
      <c r="J18" s="371">
        <v>307</v>
      </c>
      <c r="K18" s="146"/>
      <c r="L18" s="333"/>
    </row>
    <row r="19" spans="1:12" ht="22.5" customHeight="1" thickBot="1">
      <c r="A19" s="333"/>
      <c r="B19" s="190"/>
      <c r="C19" s="220" t="s">
        <v>345</v>
      </c>
      <c r="D19" s="221" t="s">
        <v>346</v>
      </c>
      <c r="E19" s="222" t="s">
        <v>280</v>
      </c>
      <c r="F19" s="221" t="s">
        <v>256</v>
      </c>
      <c r="G19" s="372">
        <v>193.54</v>
      </c>
      <c r="H19" s="223" t="s">
        <v>286</v>
      </c>
      <c r="I19" s="223" t="s">
        <v>256</v>
      </c>
      <c r="J19" s="373">
        <v>307</v>
      </c>
      <c r="K19" s="146"/>
      <c r="L19" s="333"/>
    </row>
    <row r="20" spans="1:12" ht="13.5" customHeight="1">
      <c r="A20" s="333"/>
      <c r="B20" s="190"/>
      <c r="C20" s="1004" t="s">
        <v>283</v>
      </c>
      <c r="D20" s="1004"/>
      <c r="E20" s="1004"/>
      <c r="F20" s="1004"/>
      <c r="G20" s="208"/>
      <c r="H20" s="208"/>
      <c r="I20" s="208"/>
      <c r="J20" s="208"/>
      <c r="K20" s="146"/>
      <c r="L20" s="333"/>
    </row>
    <row r="21" spans="1:12" ht="13.5" customHeight="1">
      <c r="A21" s="333"/>
      <c r="B21" s="190"/>
      <c r="C21" s="210" t="s">
        <v>284</v>
      </c>
      <c r="D21" s="208"/>
      <c r="E21" s="208"/>
      <c r="F21" s="208"/>
      <c r="G21" s="208"/>
      <c r="H21" s="208"/>
      <c r="I21" s="208"/>
      <c r="J21" s="208"/>
      <c r="K21" s="146"/>
      <c r="L21" s="333"/>
    </row>
    <row r="22" spans="1:12" ht="13.5" customHeight="1">
      <c r="A22" s="333"/>
      <c r="B22" s="190"/>
      <c r="C22" s="150" t="s">
        <v>285</v>
      </c>
      <c r="D22" s="208"/>
      <c r="E22" s="208"/>
      <c r="F22" s="208"/>
      <c r="G22" s="208"/>
      <c r="H22" s="208"/>
      <c r="I22" s="208"/>
      <c r="J22" s="208"/>
      <c r="K22" s="146"/>
      <c r="L22" s="333"/>
    </row>
    <row r="23" spans="1:12" ht="9.75" customHeight="1">
      <c r="A23" s="333"/>
      <c r="B23" s="127"/>
      <c r="C23" s="128"/>
      <c r="D23" s="129"/>
      <c r="E23" s="129"/>
      <c r="F23" s="129"/>
      <c r="G23" s="129"/>
      <c r="H23" s="129"/>
      <c r="I23" s="129"/>
      <c r="J23" s="129"/>
      <c r="K23" s="147"/>
      <c r="L23" s="333"/>
    </row>
    <row r="24" spans="1:12" ht="12.75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</row>
  </sheetData>
  <sheetProtection/>
  <mergeCells count="7">
    <mergeCell ref="H5:J5"/>
    <mergeCell ref="C20:F20"/>
    <mergeCell ref="C2:J2"/>
    <mergeCell ref="C3:J3"/>
    <mergeCell ref="C5:C6"/>
    <mergeCell ref="D5:D6"/>
    <mergeCell ref="E5:G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6.57421875" style="1" customWidth="1"/>
    <col min="4" max="4" width="27.28125" style="37" customWidth="1"/>
    <col min="5" max="5" width="15.140625" style="37" bestFit="1" customWidth="1"/>
    <col min="6" max="6" width="15.57421875" style="37" bestFit="1" customWidth="1"/>
    <col min="7" max="9" width="9.7109375" style="37" customWidth="1"/>
    <col min="10" max="10" width="14.421875" style="37" bestFit="1" customWidth="1"/>
    <col min="11" max="11" width="6.7109375" style="1" customWidth="1"/>
    <col min="12" max="12" width="2.7109375" style="1" customWidth="1"/>
    <col min="13" max="16384" width="9.140625" style="1" customWidth="1"/>
  </cols>
  <sheetData>
    <row r="1" spans="1:12" ht="15">
      <c r="A1" s="605"/>
      <c r="B1" s="605"/>
      <c r="C1" s="605"/>
      <c r="D1" s="606"/>
      <c r="E1" s="606"/>
      <c r="F1" s="606"/>
      <c r="G1" s="606"/>
      <c r="H1" s="606"/>
      <c r="I1" s="606"/>
      <c r="J1" s="606"/>
      <c r="K1" s="605"/>
      <c r="L1" s="605"/>
    </row>
    <row r="2" spans="1:20" ht="13.5" customHeight="1">
      <c r="A2" s="605"/>
      <c r="B2" s="229"/>
      <c r="C2" s="229"/>
      <c r="D2" s="1015" t="s">
        <v>166</v>
      </c>
      <c r="E2" s="1015"/>
      <c r="F2" s="1015"/>
      <c r="G2" s="1015"/>
      <c r="H2" s="1015"/>
      <c r="I2" s="1015"/>
      <c r="J2" s="1015"/>
      <c r="K2" s="208"/>
      <c r="L2" s="70"/>
      <c r="M2"/>
      <c r="N2"/>
      <c r="O2"/>
      <c r="P2"/>
      <c r="Q2"/>
      <c r="R2"/>
      <c r="S2"/>
      <c r="T2"/>
    </row>
    <row r="3" spans="1:20" ht="13.5" customHeight="1" thickBot="1">
      <c r="A3" s="605"/>
      <c r="B3" s="229"/>
      <c r="C3" s="607"/>
      <c r="D3" s="1016" t="s">
        <v>439</v>
      </c>
      <c r="E3" s="1016"/>
      <c r="F3" s="1016"/>
      <c r="G3" s="1016"/>
      <c r="H3" s="1016"/>
      <c r="I3" s="1016"/>
      <c r="J3" s="1016"/>
      <c r="K3" s="208"/>
      <c r="L3" s="70"/>
      <c r="M3"/>
      <c r="N3"/>
      <c r="O3"/>
      <c r="P3"/>
      <c r="Q3"/>
      <c r="R3"/>
      <c r="S3"/>
      <c r="T3"/>
    </row>
    <row r="4" spans="1:20" ht="13.5" customHeight="1">
      <c r="A4" s="605"/>
      <c r="B4" s="229"/>
      <c r="C4" s="1011" t="s">
        <v>440</v>
      </c>
      <c r="D4" s="1012"/>
      <c r="E4" s="1017" t="s">
        <v>167</v>
      </c>
      <c r="F4" s="1017"/>
      <c r="G4" s="1018" t="s">
        <v>22</v>
      </c>
      <c r="H4" s="1011"/>
      <c r="I4" s="1012"/>
      <c r="J4" s="517"/>
      <c r="K4" s="208"/>
      <c r="L4" s="70"/>
      <c r="M4"/>
      <c r="N4"/>
      <c r="O4"/>
      <c r="P4"/>
      <c r="Q4"/>
      <c r="R4"/>
      <c r="S4"/>
      <c r="T4"/>
    </row>
    <row r="5" spans="1:20" ht="13.5" customHeight="1">
      <c r="A5" s="605"/>
      <c r="B5" s="229"/>
      <c r="C5" s="1011"/>
      <c r="D5" s="1012"/>
      <c r="E5" s="518" t="s">
        <v>169</v>
      </c>
      <c r="F5" s="518" t="s">
        <v>170</v>
      </c>
      <c r="G5" s="1019" t="s">
        <v>171</v>
      </c>
      <c r="H5" s="1020"/>
      <c r="I5" s="1021"/>
      <c r="J5" s="231" t="s">
        <v>172</v>
      </c>
      <c r="K5" s="208"/>
      <c r="L5" s="70"/>
      <c r="M5"/>
      <c r="N5"/>
      <c r="O5"/>
      <c r="P5"/>
      <c r="Q5"/>
      <c r="R5"/>
      <c r="S5"/>
      <c r="T5"/>
    </row>
    <row r="6" spans="1:20" ht="13.5" customHeight="1">
      <c r="A6" s="605"/>
      <c r="B6" s="229"/>
      <c r="C6" s="1011"/>
      <c r="D6" s="1012"/>
      <c r="E6" s="518" t="s">
        <v>21</v>
      </c>
      <c r="F6" s="518" t="s">
        <v>21</v>
      </c>
      <c r="G6" s="1022" t="s">
        <v>52</v>
      </c>
      <c r="H6" s="1024" t="s">
        <v>53</v>
      </c>
      <c r="I6" s="1024" t="s">
        <v>120</v>
      </c>
      <c r="J6" s="1011" t="s">
        <v>173</v>
      </c>
      <c r="K6" s="208"/>
      <c r="L6" s="70"/>
      <c r="M6"/>
      <c r="N6"/>
      <c r="O6"/>
      <c r="P6"/>
      <c r="Q6"/>
      <c r="R6"/>
      <c r="S6"/>
      <c r="T6"/>
    </row>
    <row r="7" spans="1:20" ht="13.5" customHeight="1" thickBot="1">
      <c r="A7" s="605"/>
      <c r="B7" s="229"/>
      <c r="C7" s="1013"/>
      <c r="D7" s="1014"/>
      <c r="E7" s="374" t="s">
        <v>174</v>
      </c>
      <c r="F7" s="374" t="s">
        <v>174</v>
      </c>
      <c r="G7" s="1023"/>
      <c r="H7" s="1025"/>
      <c r="I7" s="1025"/>
      <c r="J7" s="1013"/>
      <c r="K7" s="208"/>
      <c r="L7" s="70"/>
      <c r="M7"/>
      <c r="N7"/>
      <c r="O7"/>
      <c r="P7"/>
      <c r="Q7"/>
      <c r="R7"/>
      <c r="S7"/>
      <c r="T7"/>
    </row>
    <row r="8" spans="1:20" ht="13.5" customHeight="1">
      <c r="A8" s="605"/>
      <c r="B8" s="229"/>
      <c r="C8" s="582" t="s">
        <v>293</v>
      </c>
      <c r="D8" s="587"/>
      <c r="E8" s="604">
        <f>SUM(E9:E10)</f>
        <v>6954</v>
      </c>
      <c r="F8" s="604">
        <f>SUM(F9:F10)</f>
        <v>88900</v>
      </c>
      <c r="G8" s="604">
        <f>SUM(G9:G10)</f>
        <v>0</v>
      </c>
      <c r="H8" s="604">
        <f>SUM(H9:H10)</f>
        <v>1726.5</v>
      </c>
      <c r="I8" s="604">
        <f>SUM(I9:I10)</f>
        <v>1726.5</v>
      </c>
      <c r="J8" s="375">
        <f aca="true" t="shared" si="0" ref="J8:J33">(I8/F8)*1000</f>
        <v>19.420697412823397</v>
      </c>
      <c r="K8" s="208"/>
      <c r="L8" s="70"/>
      <c r="M8"/>
      <c r="N8"/>
      <c r="O8"/>
      <c r="P8"/>
      <c r="Q8"/>
      <c r="R8"/>
      <c r="S8"/>
      <c r="T8"/>
    </row>
    <row r="9" spans="1:20" ht="13.5" customHeight="1">
      <c r="A9" s="605"/>
      <c r="B9" s="229"/>
      <c r="C9" s="583" t="s">
        <v>4</v>
      </c>
      <c r="D9" s="600"/>
      <c r="E9" s="537">
        <v>6904</v>
      </c>
      <c r="F9" s="538">
        <v>87657</v>
      </c>
      <c r="G9" s="539">
        <v>0</v>
      </c>
      <c r="H9" s="540">
        <v>1709.9</v>
      </c>
      <c r="I9" s="541">
        <f>H9+G9</f>
        <v>1709.9</v>
      </c>
      <c r="J9" s="542">
        <f t="shared" si="0"/>
        <v>19.50671366804705</v>
      </c>
      <c r="K9" s="208"/>
      <c r="L9" s="70"/>
      <c r="M9"/>
      <c r="N9"/>
      <c r="O9"/>
      <c r="P9"/>
      <c r="Q9"/>
      <c r="R9"/>
      <c r="S9"/>
      <c r="T9"/>
    </row>
    <row r="10" spans="1:20" ht="13.5" customHeight="1">
      <c r="A10" s="605"/>
      <c r="B10" s="229"/>
      <c r="C10" s="584" t="s">
        <v>5</v>
      </c>
      <c r="D10" s="587"/>
      <c r="E10" s="543">
        <v>50</v>
      </c>
      <c r="F10" s="544">
        <v>1243</v>
      </c>
      <c r="G10" s="545">
        <v>0</v>
      </c>
      <c r="H10" s="546">
        <v>16.6</v>
      </c>
      <c r="I10" s="547">
        <f>H10+G10</f>
        <v>16.6</v>
      </c>
      <c r="J10" s="548">
        <f t="shared" si="0"/>
        <v>13.35478680611424</v>
      </c>
      <c r="K10" s="208"/>
      <c r="L10" s="70"/>
      <c r="M10"/>
      <c r="N10"/>
      <c r="O10"/>
      <c r="P10"/>
      <c r="Q10"/>
      <c r="R10"/>
      <c r="S10"/>
      <c r="T10"/>
    </row>
    <row r="11" spans="1:20" ht="13.5" customHeight="1">
      <c r="A11" s="605"/>
      <c r="B11" s="229"/>
      <c r="C11" s="535" t="s">
        <v>423</v>
      </c>
      <c r="D11" s="586"/>
      <c r="E11" s="536">
        <f>E12</f>
        <v>15738</v>
      </c>
      <c r="F11" s="536">
        <f>F12</f>
        <v>146278</v>
      </c>
      <c r="G11" s="536">
        <f>G12</f>
        <v>1162.1</v>
      </c>
      <c r="H11" s="536">
        <f>H12</f>
        <v>1183.6</v>
      </c>
      <c r="I11" s="536">
        <f>I12</f>
        <v>2345.7</v>
      </c>
      <c r="J11" s="376">
        <f t="shared" si="0"/>
        <v>16.035904237137505</v>
      </c>
      <c r="K11" s="208"/>
      <c r="L11" s="70"/>
      <c r="M11"/>
      <c r="N11"/>
      <c r="O11"/>
      <c r="P11"/>
      <c r="Q11"/>
      <c r="R11"/>
      <c r="S11"/>
      <c r="T11"/>
    </row>
    <row r="12" spans="1:20" ht="13.5" customHeight="1">
      <c r="A12" s="605"/>
      <c r="B12" s="229"/>
      <c r="C12" s="585" t="s">
        <v>6</v>
      </c>
      <c r="E12" s="537">
        <f>SUM(E13:E15)</f>
        <v>15738</v>
      </c>
      <c r="F12" s="537">
        <f>SUM(F13:F15)</f>
        <v>146278</v>
      </c>
      <c r="G12" s="537">
        <f>SUM(G13:G15)</f>
        <v>1162.1</v>
      </c>
      <c r="H12" s="537">
        <f>SUM(H13:H15)</f>
        <v>1183.6</v>
      </c>
      <c r="I12" s="537">
        <f>SUM(I13:I15)</f>
        <v>2345.7</v>
      </c>
      <c r="J12" s="542">
        <f t="shared" si="0"/>
        <v>16.035904237137505</v>
      </c>
      <c r="K12" s="208"/>
      <c r="L12" s="70"/>
      <c r="M12"/>
      <c r="N12"/>
      <c r="O12"/>
      <c r="P12"/>
      <c r="Q12"/>
      <c r="R12"/>
      <c r="S12"/>
      <c r="T12"/>
    </row>
    <row r="13" spans="1:20" ht="13.5" customHeight="1">
      <c r="A13" s="605"/>
      <c r="B13" s="229"/>
      <c r="C13" s="598"/>
      <c r="D13" s="578" t="s">
        <v>237</v>
      </c>
      <c r="E13" s="549">
        <v>5058</v>
      </c>
      <c r="F13" s="550">
        <v>9129</v>
      </c>
      <c r="G13" s="551">
        <v>337.8</v>
      </c>
      <c r="H13" s="552">
        <v>0</v>
      </c>
      <c r="I13" s="553">
        <f>H13+G13</f>
        <v>337.8</v>
      </c>
      <c r="J13" s="554">
        <f t="shared" si="0"/>
        <v>37.00295760762406</v>
      </c>
      <c r="K13" s="208"/>
      <c r="L13" s="70"/>
      <c r="M13"/>
      <c r="N13"/>
      <c r="O13"/>
      <c r="P13"/>
      <c r="Q13"/>
      <c r="R13"/>
      <c r="S13"/>
      <c r="T13"/>
    </row>
    <row r="14" spans="1:20" ht="13.5" customHeight="1">
      <c r="A14" s="605"/>
      <c r="B14" s="229"/>
      <c r="C14" s="599"/>
      <c r="D14" s="578" t="s">
        <v>238</v>
      </c>
      <c r="E14" s="549">
        <v>6917</v>
      </c>
      <c r="F14" s="550">
        <v>101921</v>
      </c>
      <c r="G14" s="551">
        <v>824.3</v>
      </c>
      <c r="H14" s="552">
        <v>0</v>
      </c>
      <c r="I14" s="555">
        <f>H14+G14</f>
        <v>824.3</v>
      </c>
      <c r="J14" s="556">
        <f t="shared" si="0"/>
        <v>8.087636502781566</v>
      </c>
      <c r="K14" s="208"/>
      <c r="L14" s="70"/>
      <c r="M14"/>
      <c r="N14"/>
      <c r="O14"/>
      <c r="P14"/>
      <c r="Q14"/>
      <c r="R14"/>
      <c r="S14"/>
      <c r="T14"/>
    </row>
    <row r="15" spans="1:20" ht="13.5" customHeight="1">
      <c r="A15" s="605"/>
      <c r="B15" s="229"/>
      <c r="D15" s="588" t="s">
        <v>239</v>
      </c>
      <c r="E15" s="543">
        <v>3763</v>
      </c>
      <c r="F15" s="544">
        <v>35228</v>
      </c>
      <c r="G15" s="545">
        <v>0</v>
      </c>
      <c r="H15" s="557">
        <v>1183.6</v>
      </c>
      <c r="I15" s="547">
        <f>H15+G15</f>
        <v>1183.6</v>
      </c>
      <c r="J15" s="548">
        <f t="shared" si="0"/>
        <v>33.59827410014761</v>
      </c>
      <c r="K15" s="208"/>
      <c r="L15" s="70"/>
      <c r="M15"/>
      <c r="N15"/>
      <c r="O15"/>
      <c r="P15"/>
      <c r="Q15"/>
      <c r="R15"/>
      <c r="S15"/>
      <c r="T15"/>
    </row>
    <row r="16" spans="1:20" ht="13.5" customHeight="1">
      <c r="A16" s="605"/>
      <c r="B16" s="229"/>
      <c r="C16" s="535" t="s">
        <v>424</v>
      </c>
      <c r="D16" s="586"/>
      <c r="E16" s="536">
        <f>SUM(E17:E18)</f>
        <v>2530</v>
      </c>
      <c r="F16" s="536">
        <f>SUM(F17:F18)</f>
        <v>26364</v>
      </c>
      <c r="G16" s="536">
        <f>SUM(G17:G18)</f>
        <v>229</v>
      </c>
      <c r="H16" s="536">
        <f>SUM(H17:H18)</f>
        <v>126.2</v>
      </c>
      <c r="I16" s="536">
        <f>SUM(I17:I18)</f>
        <v>355.20000000000005</v>
      </c>
      <c r="J16" s="376">
        <f t="shared" si="0"/>
        <v>13.47291761492945</v>
      </c>
      <c r="K16" s="208"/>
      <c r="L16" s="70"/>
      <c r="M16"/>
      <c r="N16"/>
      <c r="O16"/>
      <c r="P16"/>
      <c r="Q16"/>
      <c r="R16"/>
      <c r="S16"/>
      <c r="T16"/>
    </row>
    <row r="17" spans="1:20" ht="13.5" customHeight="1">
      <c r="A17" s="605"/>
      <c r="B17" s="229"/>
      <c r="C17" s="585" t="s">
        <v>10</v>
      </c>
      <c r="D17" s="600"/>
      <c r="E17" s="537">
        <v>1202</v>
      </c>
      <c r="F17" s="538">
        <v>20189</v>
      </c>
      <c r="G17" s="539">
        <v>1.7</v>
      </c>
      <c r="H17" s="558">
        <v>126.2</v>
      </c>
      <c r="I17" s="541">
        <f>H17+G17</f>
        <v>127.9</v>
      </c>
      <c r="J17" s="542">
        <f t="shared" si="0"/>
        <v>6.335132993214127</v>
      </c>
      <c r="K17" s="208"/>
      <c r="L17" s="70"/>
      <c r="M17"/>
      <c r="N17"/>
      <c r="O17"/>
      <c r="P17"/>
      <c r="Q17"/>
      <c r="R17"/>
      <c r="S17"/>
      <c r="T17"/>
    </row>
    <row r="18" spans="1:20" ht="13.5" customHeight="1">
      <c r="A18" s="605"/>
      <c r="B18" s="229"/>
      <c r="C18" s="584" t="s">
        <v>11</v>
      </c>
      <c r="D18" s="587"/>
      <c r="E18" s="543">
        <v>1328</v>
      </c>
      <c r="F18" s="544">
        <v>6175</v>
      </c>
      <c r="G18" s="545">
        <v>227.3</v>
      </c>
      <c r="H18" s="559">
        <v>0</v>
      </c>
      <c r="I18" s="547">
        <f>H18+G18</f>
        <v>227.3</v>
      </c>
      <c r="J18" s="548">
        <f t="shared" si="0"/>
        <v>36.80971659919029</v>
      </c>
      <c r="K18" s="208"/>
      <c r="L18" s="70"/>
      <c r="M18"/>
      <c r="N18"/>
      <c r="O18"/>
      <c r="P18"/>
      <c r="Q18"/>
      <c r="R18"/>
      <c r="S18"/>
      <c r="T18"/>
    </row>
    <row r="19" spans="1:20" ht="13.5" customHeight="1">
      <c r="A19" s="605"/>
      <c r="B19" s="229"/>
      <c r="C19" s="535" t="s">
        <v>425</v>
      </c>
      <c r="D19" s="586"/>
      <c r="E19" s="536">
        <f>E20+E25+E26+E27</f>
        <v>281892</v>
      </c>
      <c r="F19" s="536">
        <f>F20+F25+F26+F27</f>
        <v>1613816.6</v>
      </c>
      <c r="G19" s="536">
        <f>G20+G25+G26+G27</f>
        <v>28599.3</v>
      </c>
      <c r="H19" s="536">
        <f>H20+H25+H26+H27</f>
        <v>7780.7</v>
      </c>
      <c r="I19" s="536">
        <f>I20+I25+I26+I27</f>
        <v>36380</v>
      </c>
      <c r="J19" s="376">
        <f t="shared" si="0"/>
        <v>22.542834173350304</v>
      </c>
      <c r="K19" s="208"/>
      <c r="L19" s="70"/>
      <c r="M19"/>
      <c r="N19"/>
      <c r="O19"/>
      <c r="P19"/>
      <c r="Q19"/>
      <c r="R19"/>
      <c r="S19"/>
      <c r="T19"/>
    </row>
    <row r="20" spans="1:20" ht="13.5" customHeight="1">
      <c r="A20" s="605"/>
      <c r="B20" s="229"/>
      <c r="C20" s="589" t="s">
        <v>8</v>
      </c>
      <c r="D20" s="600"/>
      <c r="E20" s="590">
        <f>SUM(E21:E24)</f>
        <v>228190</v>
      </c>
      <c r="F20" s="537">
        <f>SUM(F21:F24)</f>
        <v>967456</v>
      </c>
      <c r="G20" s="537">
        <f>SUM(G21:G24)</f>
        <v>21516.3</v>
      </c>
      <c r="H20" s="537">
        <f>SUM(H21:H24)</f>
        <v>340.5</v>
      </c>
      <c r="I20" s="537">
        <f>SUM(I21:I24)</f>
        <v>21856.8</v>
      </c>
      <c r="J20" s="542">
        <f t="shared" si="0"/>
        <v>22.59203519333179</v>
      </c>
      <c r="K20" s="208"/>
      <c r="L20" s="70"/>
      <c r="M20"/>
      <c r="N20"/>
      <c r="O20"/>
      <c r="P20"/>
      <c r="Q20"/>
      <c r="R20"/>
      <c r="S20"/>
      <c r="T20"/>
    </row>
    <row r="21" spans="1:20" ht="13.5" customHeight="1">
      <c r="A21" s="605"/>
      <c r="B21" s="229"/>
      <c r="C21" s="598"/>
      <c r="D21" s="663" t="s">
        <v>175</v>
      </c>
      <c r="E21" s="549">
        <v>143657</v>
      </c>
      <c r="F21" s="550">
        <v>474611</v>
      </c>
      <c r="G21" s="551">
        <v>10251.3</v>
      </c>
      <c r="H21" s="560">
        <v>0</v>
      </c>
      <c r="I21" s="555">
        <f aca="true" t="shared" si="1" ref="I21:I27">H21+G21</f>
        <v>10251.3</v>
      </c>
      <c r="J21" s="556">
        <f t="shared" si="0"/>
        <v>21.59937296017159</v>
      </c>
      <c r="K21" s="208"/>
      <c r="L21" s="70"/>
      <c r="M21"/>
      <c r="N21"/>
      <c r="O21"/>
      <c r="P21"/>
      <c r="Q21"/>
      <c r="R21"/>
      <c r="S21"/>
      <c r="T21"/>
    </row>
    <row r="22" spans="1:20" ht="13.5" customHeight="1">
      <c r="A22" s="605"/>
      <c r="B22" s="229"/>
      <c r="C22" s="599"/>
      <c r="D22" s="579" t="s">
        <v>176</v>
      </c>
      <c r="E22" s="549">
        <v>33500</v>
      </c>
      <c r="F22" s="550">
        <v>170634</v>
      </c>
      <c r="G22" s="551">
        <v>4231.4</v>
      </c>
      <c r="H22" s="560">
        <v>0</v>
      </c>
      <c r="I22" s="553">
        <f t="shared" si="1"/>
        <v>4231.4</v>
      </c>
      <c r="J22" s="554">
        <f t="shared" si="0"/>
        <v>24.79810588745502</v>
      </c>
      <c r="K22" s="208"/>
      <c r="L22" s="70"/>
      <c r="M22"/>
      <c r="N22"/>
      <c r="O22"/>
      <c r="P22"/>
      <c r="Q22"/>
      <c r="R22"/>
      <c r="S22"/>
      <c r="T22"/>
    </row>
    <row r="23" spans="1:20" ht="13.5" customHeight="1">
      <c r="A23" s="605"/>
      <c r="B23" s="229"/>
      <c r="C23" s="599"/>
      <c r="D23" s="580" t="s">
        <v>429</v>
      </c>
      <c r="E23" s="549">
        <v>48889</v>
      </c>
      <c r="F23" s="550">
        <v>288336</v>
      </c>
      <c r="G23" s="551">
        <v>6482.9</v>
      </c>
      <c r="H23" s="558">
        <v>221.3</v>
      </c>
      <c r="I23" s="553">
        <f t="shared" si="1"/>
        <v>6704.2</v>
      </c>
      <c r="J23" s="554">
        <f t="shared" si="0"/>
        <v>23.251345652294546</v>
      </c>
      <c r="K23" s="208"/>
      <c r="L23" s="70"/>
      <c r="M23"/>
      <c r="N23"/>
      <c r="O23"/>
      <c r="P23"/>
      <c r="Q23"/>
      <c r="R23"/>
      <c r="S23"/>
      <c r="T23"/>
    </row>
    <row r="24" spans="1:20" ht="13.5" customHeight="1">
      <c r="A24" s="605"/>
      <c r="B24" s="229"/>
      <c r="D24" s="664" t="s">
        <v>177</v>
      </c>
      <c r="E24" s="549">
        <v>2144</v>
      </c>
      <c r="F24" s="550">
        <v>33875</v>
      </c>
      <c r="G24" s="551">
        <v>550.7</v>
      </c>
      <c r="H24" s="558">
        <v>119.2</v>
      </c>
      <c r="I24" s="561">
        <f t="shared" si="1"/>
        <v>669.9000000000001</v>
      </c>
      <c r="J24" s="554">
        <f t="shared" si="0"/>
        <v>19.775645756457568</v>
      </c>
      <c r="K24" s="208"/>
      <c r="L24" s="70"/>
      <c r="M24"/>
      <c r="N24"/>
      <c r="O24"/>
      <c r="P24"/>
      <c r="Q24"/>
      <c r="R24"/>
      <c r="S24"/>
      <c r="T24"/>
    </row>
    <row r="25" spans="1:20" ht="13.5" customHeight="1">
      <c r="A25" s="605"/>
      <c r="B25" s="229"/>
      <c r="C25" s="589" t="s">
        <v>33</v>
      </c>
      <c r="D25" s="601"/>
      <c r="E25" s="595">
        <v>42057</v>
      </c>
      <c r="F25" s="550">
        <v>430302</v>
      </c>
      <c r="G25" s="551">
        <v>2938.5</v>
      </c>
      <c r="H25" s="552">
        <v>7440.2</v>
      </c>
      <c r="I25" s="561">
        <f t="shared" si="1"/>
        <v>10378.7</v>
      </c>
      <c r="J25" s="554">
        <f t="shared" si="0"/>
        <v>24.119571835594538</v>
      </c>
      <c r="K25" s="208"/>
      <c r="L25" s="70"/>
      <c r="M25"/>
      <c r="N25"/>
      <c r="O25"/>
      <c r="P25"/>
      <c r="Q25"/>
      <c r="R25"/>
      <c r="S25"/>
      <c r="T25"/>
    </row>
    <row r="26" spans="1:20" ht="13.5" customHeight="1">
      <c r="A26" s="605"/>
      <c r="B26" s="229"/>
      <c r="C26" s="589" t="s">
        <v>34</v>
      </c>
      <c r="D26" s="601"/>
      <c r="E26" s="595">
        <v>3</v>
      </c>
      <c r="F26" s="550">
        <v>12568</v>
      </c>
      <c r="G26" s="551">
        <v>309.6</v>
      </c>
      <c r="H26" s="562">
        <v>0</v>
      </c>
      <c r="I26" s="561">
        <f t="shared" si="1"/>
        <v>309.6</v>
      </c>
      <c r="J26" s="554">
        <f t="shared" si="0"/>
        <v>24.633991088478677</v>
      </c>
      <c r="K26" s="208"/>
      <c r="L26" s="71"/>
      <c r="M26"/>
      <c r="N26"/>
      <c r="O26"/>
      <c r="P26"/>
      <c r="Q26"/>
      <c r="R26"/>
      <c r="S26"/>
      <c r="T26"/>
    </row>
    <row r="27" spans="1:20" ht="13.5" customHeight="1">
      <c r="A27" s="605"/>
      <c r="B27" s="229"/>
      <c r="C27" s="589" t="s">
        <v>9</v>
      </c>
      <c r="D27" s="587"/>
      <c r="E27" s="596">
        <v>11642</v>
      </c>
      <c r="F27" s="563">
        <v>203490.6</v>
      </c>
      <c r="G27" s="545">
        <v>3834.9</v>
      </c>
      <c r="H27" s="559">
        <v>0</v>
      </c>
      <c r="I27" s="547">
        <f t="shared" si="1"/>
        <v>3834.9</v>
      </c>
      <c r="J27" s="548">
        <f t="shared" si="0"/>
        <v>18.84558795344846</v>
      </c>
      <c r="K27" s="208"/>
      <c r="L27" s="71"/>
      <c r="M27"/>
      <c r="N27"/>
      <c r="O27"/>
      <c r="P27"/>
      <c r="Q27"/>
      <c r="R27"/>
      <c r="S27"/>
      <c r="T27"/>
    </row>
    <row r="28" spans="1:20" ht="13.5" customHeight="1">
      <c r="A28" s="605"/>
      <c r="B28" s="229"/>
      <c r="C28" s="535" t="s">
        <v>290</v>
      </c>
      <c r="D28" s="582"/>
      <c r="E28" s="536">
        <f>E29</f>
        <v>8550</v>
      </c>
      <c r="F28" s="536">
        <f>F29</f>
        <v>44500</v>
      </c>
      <c r="G28" s="536">
        <f>G29</f>
        <v>1210</v>
      </c>
      <c r="H28" s="536">
        <f>H29</f>
        <v>0</v>
      </c>
      <c r="I28" s="536">
        <f>I29</f>
        <v>1210</v>
      </c>
      <c r="J28" s="376">
        <f t="shared" si="0"/>
        <v>27.191011235955056</v>
      </c>
      <c r="K28" s="208"/>
      <c r="L28" s="70"/>
      <c r="M28"/>
      <c r="N28"/>
      <c r="O28"/>
      <c r="P28"/>
      <c r="Q28"/>
      <c r="R28"/>
      <c r="S28"/>
      <c r="T28"/>
    </row>
    <row r="29" spans="1:20" ht="13.5" customHeight="1" thickBot="1">
      <c r="A29" s="605"/>
      <c r="B29" s="229"/>
      <c r="C29" s="592" t="s">
        <v>7</v>
      </c>
      <c r="D29" s="593"/>
      <c r="E29" s="564">
        <v>8550</v>
      </c>
      <c r="F29" s="565">
        <v>44500</v>
      </c>
      <c r="G29" s="566">
        <v>1210</v>
      </c>
      <c r="H29" s="567">
        <v>0</v>
      </c>
      <c r="I29" s="568">
        <f>H29+G29</f>
        <v>1210</v>
      </c>
      <c r="J29" s="569">
        <f t="shared" si="0"/>
        <v>27.191011235955056</v>
      </c>
      <c r="K29" s="208"/>
      <c r="L29" s="70"/>
      <c r="M29"/>
      <c r="N29"/>
      <c r="O29"/>
      <c r="P29"/>
      <c r="Q29"/>
      <c r="R29"/>
      <c r="S29"/>
      <c r="T29"/>
    </row>
    <row r="30" spans="1:20" ht="13.5" customHeight="1" thickBot="1">
      <c r="A30" s="605"/>
      <c r="B30" s="229"/>
      <c r="C30" s="581" t="s">
        <v>16</v>
      </c>
      <c r="D30" s="594"/>
      <c r="E30" s="571">
        <v>887</v>
      </c>
      <c r="F30" s="572">
        <v>10287</v>
      </c>
      <c r="G30" s="573">
        <v>94.6</v>
      </c>
      <c r="H30" s="574">
        <v>36.3</v>
      </c>
      <c r="I30" s="573">
        <f>G30+H30</f>
        <v>130.89999999999998</v>
      </c>
      <c r="J30" s="576">
        <f t="shared" si="0"/>
        <v>12.724798289102749</v>
      </c>
      <c r="K30" s="208"/>
      <c r="L30" s="70"/>
      <c r="M30"/>
      <c r="N30"/>
      <c r="O30"/>
      <c r="P30"/>
      <c r="Q30"/>
      <c r="R30"/>
      <c r="S30"/>
      <c r="T30"/>
    </row>
    <row r="31" spans="1:20" ht="13.5" customHeight="1" thickBot="1">
      <c r="A31" s="605"/>
      <c r="B31" s="229"/>
      <c r="C31" s="570" t="s">
        <v>426</v>
      </c>
      <c r="D31" s="594"/>
      <c r="E31" s="571">
        <f>E8+E11</f>
        <v>22692</v>
      </c>
      <c r="F31" s="571">
        <f>F8+F11</f>
        <v>235178</v>
      </c>
      <c r="G31" s="573">
        <f>G8+G11</f>
        <v>1162.1</v>
      </c>
      <c r="H31" s="573">
        <f>H8+H11</f>
        <v>2910.1</v>
      </c>
      <c r="I31" s="573">
        <f>I8+I11</f>
        <v>4072.2</v>
      </c>
      <c r="J31" s="230">
        <f t="shared" si="0"/>
        <v>17.315395147505292</v>
      </c>
      <c r="K31" s="208"/>
      <c r="L31" s="70"/>
      <c r="M31"/>
      <c r="N31"/>
      <c r="O31"/>
      <c r="P31"/>
      <c r="Q31"/>
      <c r="R31"/>
      <c r="S31"/>
      <c r="T31"/>
    </row>
    <row r="32" spans="1:20" ht="13.5" customHeight="1" thickBot="1">
      <c r="A32" s="605"/>
      <c r="B32" s="229"/>
      <c r="C32" s="581" t="s">
        <v>427</v>
      </c>
      <c r="E32" s="577">
        <f>E16+E19+E28</f>
        <v>292972</v>
      </c>
      <c r="F32" s="577">
        <f>F16+F19+F28</f>
        <v>1684680.6</v>
      </c>
      <c r="G32" s="602">
        <f>G16+G19+G28</f>
        <v>30038.3</v>
      </c>
      <c r="H32" s="602">
        <f>H16+H19+H28</f>
        <v>7906.9</v>
      </c>
      <c r="I32" s="602">
        <f>I16+I19+I28</f>
        <v>37945.2</v>
      </c>
      <c r="J32" s="603">
        <f t="shared" si="0"/>
        <v>22.523676001255073</v>
      </c>
      <c r="K32" s="208"/>
      <c r="L32" s="70"/>
      <c r="M32"/>
      <c r="N32"/>
      <c r="O32"/>
      <c r="P32"/>
      <c r="Q32"/>
      <c r="R32"/>
      <c r="S32"/>
      <c r="T32"/>
    </row>
    <row r="33" spans="1:20" ht="15" customHeight="1" thickBot="1">
      <c r="A33" s="605"/>
      <c r="B33" s="229"/>
      <c r="C33" s="610" t="s">
        <v>12</v>
      </c>
      <c r="D33" s="611"/>
      <c r="E33" s="612">
        <f>E30+E31+E32</f>
        <v>316551</v>
      </c>
      <c r="F33" s="612">
        <f>F30+F31+F32</f>
        <v>1930145.6</v>
      </c>
      <c r="G33" s="612">
        <f>G30+G31+G32</f>
        <v>31295</v>
      </c>
      <c r="H33" s="612">
        <f>H30+H31+H32</f>
        <v>10853.3</v>
      </c>
      <c r="I33" s="613">
        <f>I30+I31+I32</f>
        <v>42148.299999999996</v>
      </c>
      <c r="J33" s="614">
        <f t="shared" si="0"/>
        <v>21.836850028308742</v>
      </c>
      <c r="K33" s="208"/>
      <c r="L33" s="70"/>
      <c r="M33"/>
      <c r="N33"/>
      <c r="O33"/>
      <c r="P33"/>
      <c r="Q33"/>
      <c r="R33"/>
      <c r="S33"/>
      <c r="T33"/>
    </row>
    <row r="34" spans="1:20" ht="15" customHeight="1">
      <c r="A34" s="605"/>
      <c r="B34" s="229"/>
      <c r="C34" s="210" t="s">
        <v>428</v>
      </c>
      <c r="D34" s="608"/>
      <c r="E34" s="608"/>
      <c r="F34" s="608"/>
      <c r="G34" s="608"/>
      <c r="H34" s="608"/>
      <c r="I34" s="609"/>
      <c r="J34" s="608"/>
      <c r="K34" s="208"/>
      <c r="L34" s="70"/>
      <c r="M34"/>
      <c r="N34"/>
      <c r="O34"/>
      <c r="P34"/>
      <c r="Q34"/>
      <c r="R34"/>
      <c r="S34"/>
      <c r="T34"/>
    </row>
    <row r="35" spans="1:20" ht="15">
      <c r="A35" s="605"/>
      <c r="B35" s="605"/>
      <c r="C35" s="605"/>
      <c r="D35" s="70"/>
      <c r="E35" s="70"/>
      <c r="F35" s="70"/>
      <c r="G35" s="70"/>
      <c r="H35" s="70"/>
      <c r="I35" s="70"/>
      <c r="J35" s="70"/>
      <c r="K35" s="70"/>
      <c r="L35" s="70"/>
      <c r="M35"/>
      <c r="N35"/>
      <c r="O35"/>
      <c r="P35"/>
      <c r="Q35"/>
      <c r="R35"/>
      <c r="S35"/>
      <c r="T35"/>
    </row>
    <row r="36" spans="4:20" ht="15">
      <c r="D36"/>
      <c r="E36" s="4"/>
      <c r="F36" s="4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4:20" ht="15">
      <c r="D37"/>
      <c r="E37"/>
      <c r="F37" s="4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4:20" ht="1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4:15" ht="15">
      <c r="D39"/>
      <c r="E39"/>
      <c r="F39"/>
      <c r="G39"/>
      <c r="H39"/>
      <c r="I39" s="4"/>
      <c r="J39"/>
      <c r="K39"/>
      <c r="L39"/>
      <c r="M39"/>
      <c r="N39"/>
      <c r="O39"/>
    </row>
    <row r="40" spans="4:15" ht="15">
      <c r="D40"/>
      <c r="E40"/>
      <c r="F40"/>
      <c r="G40"/>
      <c r="H40"/>
      <c r="I40"/>
      <c r="J40"/>
      <c r="K40"/>
      <c r="L40"/>
      <c r="M40"/>
      <c r="N40"/>
      <c r="O40"/>
    </row>
    <row r="41" spans="4:15" ht="15">
      <c r="D41"/>
      <c r="E41"/>
      <c r="F41"/>
      <c r="G41"/>
      <c r="H41"/>
      <c r="I41"/>
      <c r="J41"/>
      <c r="K41"/>
      <c r="L41"/>
      <c r="M41"/>
      <c r="N41"/>
      <c r="O41"/>
    </row>
    <row r="42" spans="4:15" ht="15">
      <c r="D42"/>
      <c r="E42"/>
      <c r="F42"/>
      <c r="G42"/>
      <c r="H42"/>
      <c r="I42"/>
      <c r="J42"/>
      <c r="K42"/>
      <c r="L42"/>
      <c r="M42"/>
      <c r="N42"/>
      <c r="O42"/>
    </row>
    <row r="43" spans="4:15" ht="15">
      <c r="D43"/>
      <c r="E43"/>
      <c r="F43"/>
      <c r="G43"/>
      <c r="H43"/>
      <c r="I43"/>
      <c r="J43"/>
      <c r="K43"/>
      <c r="L43"/>
      <c r="M43"/>
      <c r="N43"/>
      <c r="O43"/>
    </row>
    <row r="44" spans="4:15" ht="15">
      <c r="D44"/>
      <c r="E44"/>
      <c r="F44"/>
      <c r="G44"/>
      <c r="H44"/>
      <c r="I44"/>
      <c r="J44"/>
      <c r="K44"/>
      <c r="L44"/>
      <c r="M44"/>
      <c r="N44"/>
      <c r="O44"/>
    </row>
    <row r="45" spans="4:15" ht="15">
      <c r="D45"/>
      <c r="E45"/>
      <c r="F45"/>
      <c r="G45"/>
      <c r="H45"/>
      <c r="I45"/>
      <c r="J45"/>
      <c r="K45"/>
      <c r="L45"/>
      <c r="M45"/>
      <c r="N45"/>
      <c r="O45"/>
    </row>
    <row r="46" spans="4:15" ht="15">
      <c r="D46"/>
      <c r="E46"/>
      <c r="F46"/>
      <c r="G46"/>
      <c r="H46"/>
      <c r="I46"/>
      <c r="J46"/>
      <c r="K46"/>
      <c r="L46"/>
      <c r="M46"/>
      <c r="N46"/>
      <c r="O46"/>
    </row>
    <row r="47" spans="4:15" ht="15">
      <c r="D47"/>
      <c r="E47"/>
      <c r="F47"/>
      <c r="G47"/>
      <c r="H47"/>
      <c r="I47"/>
      <c r="J47"/>
      <c r="K47"/>
      <c r="L47"/>
      <c r="M47"/>
      <c r="N47"/>
      <c r="O47"/>
    </row>
    <row r="48" spans="4:15" ht="15">
      <c r="D48"/>
      <c r="E48"/>
      <c r="F48"/>
      <c r="G48"/>
      <c r="H48"/>
      <c r="I48"/>
      <c r="J48"/>
      <c r="K48"/>
      <c r="L48"/>
      <c r="M48"/>
      <c r="N48"/>
      <c r="O48"/>
    </row>
    <row r="49" spans="4:15" ht="15">
      <c r="D49"/>
      <c r="E49"/>
      <c r="F49"/>
      <c r="G49"/>
      <c r="H49"/>
      <c r="I49"/>
      <c r="J49"/>
      <c r="K49"/>
      <c r="L49"/>
      <c r="M49"/>
      <c r="N49"/>
      <c r="O49"/>
    </row>
    <row r="50" spans="4:15" ht="15">
      <c r="D50"/>
      <c r="E50"/>
      <c r="F50"/>
      <c r="G50"/>
      <c r="H50"/>
      <c r="I50"/>
      <c r="J50"/>
      <c r="K50"/>
      <c r="L50"/>
      <c r="M50"/>
      <c r="N50"/>
      <c r="O50"/>
    </row>
    <row r="51" spans="4:15" ht="15">
      <c r="D51"/>
      <c r="E51"/>
      <c r="F51"/>
      <c r="G51"/>
      <c r="H51"/>
      <c r="I51"/>
      <c r="J51"/>
      <c r="K51"/>
      <c r="L51"/>
      <c r="M51"/>
      <c r="N51"/>
      <c r="O51"/>
    </row>
    <row r="52" spans="4:15" ht="15">
      <c r="D52"/>
      <c r="E52"/>
      <c r="F52"/>
      <c r="G52"/>
      <c r="H52"/>
      <c r="I52"/>
      <c r="J52"/>
      <c r="K52"/>
      <c r="L52"/>
      <c r="M52"/>
      <c r="N52"/>
      <c r="O52"/>
    </row>
    <row r="53" spans="4:15" ht="15">
      <c r="D53"/>
      <c r="E53"/>
      <c r="F53"/>
      <c r="G53"/>
      <c r="H53"/>
      <c r="I53"/>
      <c r="J53"/>
      <c r="K53"/>
      <c r="L53"/>
      <c r="M53"/>
      <c r="N53"/>
      <c r="O53"/>
    </row>
    <row r="54" spans="4:15" ht="15">
      <c r="D54"/>
      <c r="E54"/>
      <c r="F54"/>
      <c r="G54"/>
      <c r="H54"/>
      <c r="I54"/>
      <c r="J54"/>
      <c r="K54"/>
      <c r="L54"/>
      <c r="M54"/>
      <c r="N54"/>
      <c r="O54"/>
    </row>
    <row r="55" spans="4:15" ht="15">
      <c r="D55"/>
      <c r="E55"/>
      <c r="F55"/>
      <c r="G55"/>
      <c r="H55"/>
      <c r="I55"/>
      <c r="J55"/>
      <c r="K55"/>
      <c r="L55"/>
      <c r="M55"/>
      <c r="N55"/>
      <c r="O55"/>
    </row>
    <row r="56" spans="4:15" ht="15">
      <c r="D56"/>
      <c r="E56"/>
      <c r="F56"/>
      <c r="G56"/>
      <c r="H56"/>
      <c r="I56"/>
      <c r="J56"/>
      <c r="K56"/>
      <c r="L56"/>
      <c r="M56"/>
      <c r="N56"/>
      <c r="O56"/>
    </row>
    <row r="57" spans="4:15" ht="15">
      <c r="D57"/>
      <c r="E57"/>
      <c r="F57"/>
      <c r="G57"/>
      <c r="H57"/>
      <c r="I57"/>
      <c r="J57"/>
      <c r="K57"/>
      <c r="L57"/>
      <c r="M57"/>
      <c r="N57"/>
      <c r="O57"/>
    </row>
    <row r="58" spans="4:15" ht="15">
      <c r="D58"/>
      <c r="E58"/>
      <c r="F58"/>
      <c r="G58"/>
      <c r="H58"/>
      <c r="I58"/>
      <c r="J58"/>
      <c r="K58"/>
      <c r="L58"/>
      <c r="M58"/>
      <c r="N58"/>
      <c r="O58"/>
    </row>
    <row r="59" spans="4:15" ht="15">
      <c r="D59"/>
      <c r="E59"/>
      <c r="F59"/>
      <c r="G59"/>
      <c r="H59"/>
      <c r="I59"/>
      <c r="J59"/>
      <c r="K59"/>
      <c r="L59"/>
      <c r="M59"/>
      <c r="N59"/>
      <c r="O59"/>
    </row>
    <row r="60" spans="4:15" ht="15"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10">
    <mergeCell ref="C4:D7"/>
    <mergeCell ref="D2:J2"/>
    <mergeCell ref="D3:J3"/>
    <mergeCell ref="E4:F4"/>
    <mergeCell ref="G4:I4"/>
    <mergeCell ref="G5:I5"/>
    <mergeCell ref="G6:G7"/>
    <mergeCell ref="H6:H7"/>
    <mergeCell ref="I6:I7"/>
    <mergeCell ref="J6:J7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2" width="2.7109375" style="1" customWidth="1"/>
    <col min="3" max="3" width="6.57421875" style="1" customWidth="1"/>
    <col min="4" max="4" width="27.57421875" style="37" customWidth="1"/>
    <col min="5" max="6" width="10.28125" style="37" bestFit="1" customWidth="1"/>
    <col min="7" max="7" width="6.28125" style="37" bestFit="1" customWidth="1"/>
    <col min="8" max="9" width="7.7109375" style="37" bestFit="1" customWidth="1"/>
    <col min="10" max="10" width="7.00390625" style="37" bestFit="1" customWidth="1"/>
    <col min="11" max="12" width="7.7109375" style="37" bestFit="1" customWidth="1"/>
    <col min="13" max="13" width="7.00390625" style="37" bestFit="1" customWidth="1"/>
    <col min="14" max="15" width="7.7109375" style="37" bestFit="1" customWidth="1"/>
    <col min="16" max="16" width="6.7109375" style="37" bestFit="1" customWidth="1"/>
    <col min="17" max="18" width="2.7109375" style="1" customWidth="1"/>
    <col min="19" max="16384" width="9.140625" style="1" customWidth="1"/>
  </cols>
  <sheetData>
    <row r="1" spans="1:18" ht="15">
      <c r="A1" s="605"/>
      <c r="B1" s="605"/>
      <c r="C1" s="605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5"/>
      <c r="R1" s="605"/>
    </row>
    <row r="2" spans="1:18" ht="13.5" customHeight="1">
      <c r="A2" s="605"/>
      <c r="B2" s="229"/>
      <c r="C2" s="1015" t="s">
        <v>166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208"/>
      <c r="R2" s="70"/>
    </row>
    <row r="3" spans="1:18" ht="13.5" customHeight="1" thickBot="1">
      <c r="A3" s="605"/>
      <c r="B3" s="229"/>
      <c r="C3" s="1016" t="s">
        <v>443</v>
      </c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208"/>
      <c r="R3" s="70"/>
    </row>
    <row r="4" spans="1:18" ht="19.5" customHeight="1">
      <c r="A4" s="605"/>
      <c r="B4" s="229"/>
      <c r="C4" s="1029" t="s">
        <v>440</v>
      </c>
      <c r="D4" s="1030"/>
      <c r="E4" s="1026" t="s">
        <v>437</v>
      </c>
      <c r="F4" s="1027"/>
      <c r="G4" s="1028"/>
      <c r="H4" s="1026" t="s">
        <v>442</v>
      </c>
      <c r="I4" s="1027"/>
      <c r="J4" s="1028"/>
      <c r="K4" s="1026" t="s">
        <v>441</v>
      </c>
      <c r="L4" s="1027"/>
      <c r="M4" s="1028"/>
      <c r="N4" s="1026" t="s">
        <v>438</v>
      </c>
      <c r="O4" s="1027"/>
      <c r="P4" s="1027"/>
      <c r="Q4" s="141"/>
      <c r="R4" s="70"/>
    </row>
    <row r="5" spans="1:18" ht="19.5" customHeight="1" thickBot="1">
      <c r="A5" s="605"/>
      <c r="B5" s="229"/>
      <c r="C5" s="1013"/>
      <c r="D5" s="1014"/>
      <c r="E5" s="662">
        <v>2014</v>
      </c>
      <c r="F5" s="662">
        <v>2015</v>
      </c>
      <c r="G5" s="682" t="s">
        <v>14</v>
      </c>
      <c r="H5" s="662">
        <v>2014</v>
      </c>
      <c r="I5" s="662">
        <v>2015</v>
      </c>
      <c r="J5" s="682" t="s">
        <v>14</v>
      </c>
      <c r="K5" s="662">
        <v>2014</v>
      </c>
      <c r="L5" s="662">
        <v>2015</v>
      </c>
      <c r="M5" s="682" t="s">
        <v>14</v>
      </c>
      <c r="N5" s="662">
        <v>2014</v>
      </c>
      <c r="O5" s="662">
        <v>2015</v>
      </c>
      <c r="P5" s="682" t="s">
        <v>14</v>
      </c>
      <c r="Q5" s="141"/>
      <c r="R5" s="70"/>
    </row>
    <row r="6" spans="1:18" ht="13.5" customHeight="1">
      <c r="A6" s="605"/>
      <c r="B6" s="229"/>
      <c r="C6" s="582" t="s">
        <v>293</v>
      </c>
      <c r="D6" s="587"/>
      <c r="E6" s="685">
        <v>90381</v>
      </c>
      <c r="F6" s="685">
        <v>88900</v>
      </c>
      <c r="G6" s="604">
        <f>(F6/E6-1)*100</f>
        <v>-1.638618736238806</v>
      </c>
      <c r="H6" s="685">
        <v>0</v>
      </c>
      <c r="I6" s="685">
        <v>0</v>
      </c>
      <c r="J6" s="676">
        <v>0</v>
      </c>
      <c r="K6" s="685">
        <v>1546</v>
      </c>
      <c r="L6" s="685">
        <v>1726.5</v>
      </c>
      <c r="M6" s="729">
        <f aca="true" t="shared" si="0" ref="M6:M31">(L6/K6-1)*100</f>
        <v>11.67529107373868</v>
      </c>
      <c r="N6" s="686">
        <v>1546</v>
      </c>
      <c r="O6" s="685">
        <v>1726.5</v>
      </c>
      <c r="P6" s="677">
        <f>(O6/N6-1)*100</f>
        <v>11.67529107373868</v>
      </c>
      <c r="Q6" s="141"/>
      <c r="R6" s="70"/>
    </row>
    <row r="7" spans="1:18" ht="13.5" customHeight="1">
      <c r="A7" s="605"/>
      <c r="B7" s="229"/>
      <c r="C7" s="675" t="s">
        <v>4</v>
      </c>
      <c r="D7" s="600"/>
      <c r="E7" s="687">
        <v>86004</v>
      </c>
      <c r="F7" s="687">
        <v>87657</v>
      </c>
      <c r="G7" s="676">
        <f aca="true" t="shared" si="1" ref="G7:G31">(F7/E7-1)*100</f>
        <v>1.9220036277382446</v>
      </c>
      <c r="H7" s="688">
        <v>0</v>
      </c>
      <c r="I7" s="688">
        <v>0</v>
      </c>
      <c r="J7" s="681">
        <v>0</v>
      </c>
      <c r="K7" s="689">
        <v>1477.3</v>
      </c>
      <c r="L7" s="687">
        <v>1709.9</v>
      </c>
      <c r="M7" s="681">
        <f t="shared" si="0"/>
        <v>15.744940093413673</v>
      </c>
      <c r="N7" s="689">
        <v>1477.3</v>
      </c>
      <c r="O7" s="688">
        <v>1709.9</v>
      </c>
      <c r="P7" s="676">
        <f>(O7/N7-1)*100</f>
        <v>15.744940093413673</v>
      </c>
      <c r="Q7" s="141"/>
      <c r="R7" s="70"/>
    </row>
    <row r="8" spans="1:18" ht="13.5" customHeight="1">
      <c r="A8" s="605"/>
      <c r="B8" s="229"/>
      <c r="C8" s="674" t="s">
        <v>5</v>
      </c>
      <c r="D8" s="587"/>
      <c r="E8" s="690">
        <v>4377</v>
      </c>
      <c r="F8" s="690">
        <v>1243</v>
      </c>
      <c r="G8" s="665">
        <f t="shared" si="1"/>
        <v>-71.60155357550833</v>
      </c>
      <c r="H8" s="721">
        <v>0</v>
      </c>
      <c r="I8" s="691">
        <v>0</v>
      </c>
      <c r="J8" s="728">
        <v>0</v>
      </c>
      <c r="K8" s="722">
        <v>68.7</v>
      </c>
      <c r="L8" s="723">
        <v>16.6</v>
      </c>
      <c r="M8" s="728">
        <f t="shared" si="0"/>
        <v>-75.83697234352256</v>
      </c>
      <c r="N8" s="722">
        <v>68.7</v>
      </c>
      <c r="O8" s="721">
        <v>16.6</v>
      </c>
      <c r="P8" s="731">
        <f>(O8/N8-1)*100</f>
        <v>-75.83697234352256</v>
      </c>
      <c r="Q8" s="141"/>
      <c r="R8" s="70"/>
    </row>
    <row r="9" spans="1:18" ht="13.5" customHeight="1">
      <c r="A9" s="605"/>
      <c r="B9" s="229"/>
      <c r="C9" s="535" t="s">
        <v>423</v>
      </c>
      <c r="D9" s="586"/>
      <c r="E9" s="693">
        <v>143939</v>
      </c>
      <c r="F9" s="693">
        <v>146278</v>
      </c>
      <c r="G9" s="604">
        <f t="shared" si="1"/>
        <v>1.6249939210359887</v>
      </c>
      <c r="H9" s="685">
        <v>1331.3000000000002</v>
      </c>
      <c r="I9" s="693">
        <v>1162.1</v>
      </c>
      <c r="J9" s="671">
        <f>(I9/H9-1)*100</f>
        <v>-12.709381807256081</v>
      </c>
      <c r="K9" s="686">
        <v>1040</v>
      </c>
      <c r="L9" s="685">
        <v>1183.6</v>
      </c>
      <c r="M9" s="672">
        <f t="shared" si="0"/>
        <v>13.8076923076923</v>
      </c>
      <c r="N9" s="686">
        <v>2371.3</v>
      </c>
      <c r="O9" s="685">
        <v>2345.7</v>
      </c>
      <c r="P9" s="604">
        <f aca="true" t="shared" si="2" ref="P9:P31">(O9/N9-1)*100</f>
        <v>-1.0795766035508136</v>
      </c>
      <c r="Q9" s="141"/>
      <c r="R9" s="70"/>
    </row>
    <row r="10" spans="1:18" ht="13.5" customHeight="1">
      <c r="A10" s="605"/>
      <c r="B10" s="229"/>
      <c r="C10" s="666" t="s">
        <v>6</v>
      </c>
      <c r="E10" s="695">
        <v>143939</v>
      </c>
      <c r="F10" s="695">
        <v>146278</v>
      </c>
      <c r="G10" s="677">
        <f t="shared" si="1"/>
        <v>1.6249939210359887</v>
      </c>
      <c r="H10" s="695">
        <v>1331.3000000000002</v>
      </c>
      <c r="I10" s="695">
        <v>1162.1</v>
      </c>
      <c r="J10" s="678">
        <f>(I10/H10-1)*100</f>
        <v>-12.709381807256081</v>
      </c>
      <c r="K10" s="696">
        <v>1040</v>
      </c>
      <c r="L10" s="695">
        <v>1183.6</v>
      </c>
      <c r="M10" s="678">
        <f t="shared" si="0"/>
        <v>13.8076923076923</v>
      </c>
      <c r="N10" s="696">
        <v>2371.3</v>
      </c>
      <c r="O10" s="695">
        <v>2345.7</v>
      </c>
      <c r="P10" s="677">
        <f t="shared" si="2"/>
        <v>-1.0795766035508136</v>
      </c>
      <c r="Q10" s="141"/>
      <c r="R10" s="70"/>
    </row>
    <row r="11" spans="1:18" ht="13.5" customHeight="1">
      <c r="A11" s="605"/>
      <c r="B11" s="229"/>
      <c r="C11" s="598"/>
      <c r="D11" s="578" t="s">
        <v>237</v>
      </c>
      <c r="E11" s="697">
        <v>11973</v>
      </c>
      <c r="F11" s="698">
        <v>9129</v>
      </c>
      <c r="G11" s="679">
        <f t="shared" si="1"/>
        <v>-23.753445251816586</v>
      </c>
      <c r="H11" s="699">
        <v>435.1</v>
      </c>
      <c r="I11" s="699">
        <v>337.8</v>
      </c>
      <c r="J11" s="680">
        <f>(I11/H11-1)*100</f>
        <v>-22.362675247069642</v>
      </c>
      <c r="K11" s="700">
        <v>0</v>
      </c>
      <c r="L11" s="698">
        <v>0</v>
      </c>
      <c r="M11" s="680">
        <v>0</v>
      </c>
      <c r="N11" s="700">
        <v>435.1</v>
      </c>
      <c r="O11" s="699">
        <v>337.8</v>
      </c>
      <c r="P11" s="679">
        <f t="shared" si="2"/>
        <v>-22.362675247069642</v>
      </c>
      <c r="Q11" s="141"/>
      <c r="R11" s="70"/>
    </row>
    <row r="12" spans="1:18" ht="13.5" customHeight="1">
      <c r="A12" s="605"/>
      <c r="B12" s="229"/>
      <c r="C12" s="599"/>
      <c r="D12" s="578" t="s">
        <v>238</v>
      </c>
      <c r="E12" s="701">
        <v>99366</v>
      </c>
      <c r="F12" s="697">
        <v>101921</v>
      </c>
      <c r="G12" s="679">
        <f t="shared" si="1"/>
        <v>2.57130205502889</v>
      </c>
      <c r="H12" s="699">
        <v>896.2</v>
      </c>
      <c r="I12" s="699">
        <v>824.3</v>
      </c>
      <c r="J12" s="680">
        <f>(I12/H12-1)*100</f>
        <v>-8.022762776166047</v>
      </c>
      <c r="K12" s="724">
        <v>0</v>
      </c>
      <c r="L12" s="725">
        <v>0</v>
      </c>
      <c r="M12" s="730">
        <v>0</v>
      </c>
      <c r="N12" s="724">
        <v>896.2</v>
      </c>
      <c r="O12" s="726">
        <v>824.3</v>
      </c>
      <c r="P12" s="732">
        <f t="shared" si="2"/>
        <v>-8.022762776166047</v>
      </c>
      <c r="Q12" s="141"/>
      <c r="R12" s="70"/>
    </row>
    <row r="13" spans="1:18" ht="13.5" customHeight="1">
      <c r="A13" s="605"/>
      <c r="B13" s="229"/>
      <c r="D13" s="588" t="s">
        <v>239</v>
      </c>
      <c r="E13" s="702">
        <v>32600</v>
      </c>
      <c r="F13" s="702">
        <v>35228</v>
      </c>
      <c r="G13" s="665">
        <f t="shared" si="1"/>
        <v>8.06134969325154</v>
      </c>
      <c r="H13" s="691">
        <v>0</v>
      </c>
      <c r="I13" s="691">
        <v>0</v>
      </c>
      <c r="J13" s="673">
        <v>0</v>
      </c>
      <c r="K13" s="692">
        <v>1040</v>
      </c>
      <c r="L13" s="690">
        <v>1183.6</v>
      </c>
      <c r="M13" s="673">
        <f t="shared" si="0"/>
        <v>13.8076923076923</v>
      </c>
      <c r="N13" s="692">
        <v>1040</v>
      </c>
      <c r="O13" s="691">
        <v>1183.6</v>
      </c>
      <c r="P13" s="665">
        <f t="shared" si="2"/>
        <v>13.8076923076923</v>
      </c>
      <c r="Q13" s="141"/>
      <c r="R13" s="70"/>
    </row>
    <row r="14" spans="1:18" ht="13.5" customHeight="1">
      <c r="A14" s="605"/>
      <c r="B14" s="229"/>
      <c r="C14" s="535" t="s">
        <v>424</v>
      </c>
      <c r="D14" s="586"/>
      <c r="E14" s="693">
        <v>26251.8</v>
      </c>
      <c r="F14" s="693">
        <v>26364</v>
      </c>
      <c r="G14" s="604">
        <f t="shared" si="1"/>
        <v>0.42739926405046536</v>
      </c>
      <c r="H14" s="693">
        <v>238.6</v>
      </c>
      <c r="I14" s="693">
        <v>229</v>
      </c>
      <c r="J14" s="672">
        <f>(I14/H14-1)*100</f>
        <v>-4.02347024308466</v>
      </c>
      <c r="K14" s="694">
        <v>163.8</v>
      </c>
      <c r="L14" s="693">
        <v>126.2</v>
      </c>
      <c r="M14" s="672">
        <f t="shared" si="0"/>
        <v>-22.954822954822962</v>
      </c>
      <c r="N14" s="694">
        <v>402.4</v>
      </c>
      <c r="O14" s="693">
        <v>355.20000000000005</v>
      </c>
      <c r="P14" s="604">
        <f t="shared" si="2"/>
        <v>-11.729622266401574</v>
      </c>
      <c r="Q14" s="141"/>
      <c r="R14" s="70"/>
    </row>
    <row r="15" spans="1:18" ht="13.5" customHeight="1">
      <c r="A15" s="605"/>
      <c r="B15" s="229"/>
      <c r="C15" s="585" t="s">
        <v>10</v>
      </c>
      <c r="D15" s="600"/>
      <c r="E15" s="697">
        <v>20115</v>
      </c>
      <c r="F15" s="697">
        <v>20189</v>
      </c>
      <c r="G15" s="676">
        <f t="shared" si="1"/>
        <v>0.36788466318666835</v>
      </c>
      <c r="H15" s="688">
        <v>2</v>
      </c>
      <c r="I15" s="688">
        <v>1.7</v>
      </c>
      <c r="J15" s="681">
        <f>(I15/H15-1)*100</f>
        <v>-15.000000000000002</v>
      </c>
      <c r="K15" s="689">
        <v>163.8</v>
      </c>
      <c r="L15" s="687">
        <v>126.2</v>
      </c>
      <c r="M15" s="681">
        <f t="shared" si="0"/>
        <v>-22.954822954822962</v>
      </c>
      <c r="N15" s="689">
        <v>165.8</v>
      </c>
      <c r="O15" s="688">
        <v>127.9</v>
      </c>
      <c r="P15" s="676">
        <f t="shared" si="2"/>
        <v>-22.85886610373945</v>
      </c>
      <c r="Q15" s="141"/>
      <c r="R15" s="70"/>
    </row>
    <row r="16" spans="1:18" ht="13.5" customHeight="1">
      <c r="A16" s="605"/>
      <c r="B16" s="229"/>
      <c r="C16" s="584" t="s">
        <v>11</v>
      </c>
      <c r="D16" s="587"/>
      <c r="E16" s="702">
        <v>6136.8</v>
      </c>
      <c r="F16" s="702">
        <v>6175</v>
      </c>
      <c r="G16" s="665">
        <f t="shared" si="1"/>
        <v>0.6224742536826922</v>
      </c>
      <c r="H16" s="691">
        <v>236.6</v>
      </c>
      <c r="I16" s="691">
        <v>227.3</v>
      </c>
      <c r="J16" s="728">
        <f>(I16/H16-1)*100</f>
        <v>-3.9306846999154654</v>
      </c>
      <c r="K16" s="692">
        <v>0</v>
      </c>
      <c r="L16" s="690">
        <v>0</v>
      </c>
      <c r="M16" s="673">
        <v>0</v>
      </c>
      <c r="N16" s="692">
        <v>236.6</v>
      </c>
      <c r="O16" s="691">
        <v>227.3</v>
      </c>
      <c r="P16" s="731">
        <f t="shared" si="2"/>
        <v>-3.9306846999154654</v>
      </c>
      <c r="Q16" s="141"/>
      <c r="R16" s="70"/>
    </row>
    <row r="17" spans="1:18" ht="13.5" customHeight="1">
      <c r="A17" s="605"/>
      <c r="B17" s="229"/>
      <c r="C17" s="535" t="s">
        <v>425</v>
      </c>
      <c r="D17" s="586"/>
      <c r="E17" s="693">
        <v>1640790</v>
      </c>
      <c r="F17" s="693">
        <v>1613816.6</v>
      </c>
      <c r="G17" s="604">
        <f t="shared" si="1"/>
        <v>-1.643927620231711</v>
      </c>
      <c r="H17" s="693">
        <v>30084.5</v>
      </c>
      <c r="I17" s="693">
        <v>28599.3</v>
      </c>
      <c r="J17" s="672">
        <f>(I17/H17-1)*100</f>
        <v>-4.9367614552344286</v>
      </c>
      <c r="K17" s="694">
        <v>10246.4</v>
      </c>
      <c r="L17" s="693">
        <v>7780.7</v>
      </c>
      <c r="M17" s="672">
        <f t="shared" si="0"/>
        <v>-24.064061524047464</v>
      </c>
      <c r="N17" s="694">
        <v>40330.90000000001</v>
      </c>
      <c r="O17" s="693">
        <v>36380</v>
      </c>
      <c r="P17" s="604">
        <f t="shared" si="2"/>
        <v>-9.796210845778319</v>
      </c>
      <c r="Q17" s="141"/>
      <c r="R17" s="70"/>
    </row>
    <row r="18" spans="1:18" ht="13.5" customHeight="1">
      <c r="A18" s="605"/>
      <c r="B18" s="229"/>
      <c r="C18" s="667" t="s">
        <v>8</v>
      </c>
      <c r="D18" s="668"/>
      <c r="E18" s="703">
        <v>995079</v>
      </c>
      <c r="F18" s="695">
        <v>967456</v>
      </c>
      <c r="G18" s="677">
        <f t="shared" si="1"/>
        <v>-2.775960501628516</v>
      </c>
      <c r="H18" s="695">
        <v>22346.7</v>
      </c>
      <c r="I18" s="695">
        <v>21516.3</v>
      </c>
      <c r="J18" s="678">
        <f>(I18/H18-1)*100</f>
        <v>-3.7159849105237064</v>
      </c>
      <c r="K18" s="696">
        <v>297.4</v>
      </c>
      <c r="L18" s="695">
        <v>340.5</v>
      </c>
      <c r="M18" s="678">
        <f t="shared" si="0"/>
        <v>14.492266308002687</v>
      </c>
      <c r="N18" s="696">
        <v>22644.1</v>
      </c>
      <c r="O18" s="695">
        <v>21856.8</v>
      </c>
      <c r="P18" s="677">
        <f t="shared" si="2"/>
        <v>-3.4768438577819305</v>
      </c>
      <c r="Q18" s="141"/>
      <c r="R18" s="70"/>
    </row>
    <row r="19" spans="1:18" ht="13.5" customHeight="1">
      <c r="A19" s="605"/>
      <c r="B19" s="229"/>
      <c r="C19" s="598"/>
      <c r="D19" s="663" t="s">
        <v>175</v>
      </c>
      <c r="E19" s="701">
        <v>501214</v>
      </c>
      <c r="F19" s="698">
        <v>474611</v>
      </c>
      <c r="G19" s="679">
        <f t="shared" si="1"/>
        <v>-5.307712873144011</v>
      </c>
      <c r="H19" s="699">
        <v>10803.7</v>
      </c>
      <c r="I19" s="699">
        <v>10251.3</v>
      </c>
      <c r="J19" s="680">
        <f>(I19/H19-1)*100</f>
        <v>-5.113063117265392</v>
      </c>
      <c r="K19" s="700">
        <v>0</v>
      </c>
      <c r="L19" s="698">
        <v>0</v>
      </c>
      <c r="M19" s="680">
        <v>0</v>
      </c>
      <c r="N19" s="700">
        <v>10803.7</v>
      </c>
      <c r="O19" s="699">
        <v>10251.3</v>
      </c>
      <c r="P19" s="679">
        <f t="shared" si="2"/>
        <v>-5.113063117265392</v>
      </c>
      <c r="Q19" s="141"/>
      <c r="R19" s="70"/>
    </row>
    <row r="20" spans="1:18" ht="13.5" customHeight="1">
      <c r="A20" s="605"/>
      <c r="B20" s="229"/>
      <c r="C20" s="599"/>
      <c r="D20" s="579" t="s">
        <v>176</v>
      </c>
      <c r="E20" s="701">
        <v>174369</v>
      </c>
      <c r="F20" s="697">
        <v>170634</v>
      </c>
      <c r="G20" s="679">
        <f t="shared" si="1"/>
        <v>-2.1420091874128966</v>
      </c>
      <c r="H20" s="699">
        <v>5765.5</v>
      </c>
      <c r="I20" s="699">
        <v>4231.4</v>
      </c>
      <c r="J20" s="680">
        <f>(I20/H20-1)*100</f>
        <v>-26.608273350099743</v>
      </c>
      <c r="K20" s="724">
        <v>0</v>
      </c>
      <c r="L20" s="725">
        <v>0</v>
      </c>
      <c r="M20" s="730">
        <v>0</v>
      </c>
      <c r="N20" s="724">
        <v>5765.5</v>
      </c>
      <c r="O20" s="726">
        <v>4231.4</v>
      </c>
      <c r="P20" s="732">
        <f t="shared" si="2"/>
        <v>-26.608273350099743</v>
      </c>
      <c r="Q20" s="141"/>
      <c r="R20" s="70"/>
    </row>
    <row r="21" spans="1:23" ht="13.5" customHeight="1">
      <c r="A21" s="605"/>
      <c r="B21" s="229"/>
      <c r="C21" s="599"/>
      <c r="D21" s="580" t="s">
        <v>429</v>
      </c>
      <c r="E21" s="701">
        <v>284582</v>
      </c>
      <c r="F21" s="701">
        <v>288336</v>
      </c>
      <c r="G21" s="679">
        <f t="shared" si="1"/>
        <v>1.3191277030873305</v>
      </c>
      <c r="H21" s="699">
        <v>5111.5</v>
      </c>
      <c r="I21" s="699">
        <v>6482.9</v>
      </c>
      <c r="J21" s="680">
        <f aca="true" t="shared" si="3" ref="J21:J27">(I21/H21-1)*100</f>
        <v>26.829697740389303</v>
      </c>
      <c r="K21" s="700">
        <v>193.3</v>
      </c>
      <c r="L21" s="698">
        <v>221.3</v>
      </c>
      <c r="M21" s="680">
        <f t="shared" si="0"/>
        <v>14.485256078634245</v>
      </c>
      <c r="N21" s="700">
        <v>5304.8</v>
      </c>
      <c r="O21" s="699">
        <v>6704.2</v>
      </c>
      <c r="P21" s="679">
        <f t="shared" si="2"/>
        <v>26.379882370683138</v>
      </c>
      <c r="Q21" s="141"/>
      <c r="R21" s="70"/>
      <c r="W21" s="727"/>
    </row>
    <row r="22" spans="1:18" ht="13.5" customHeight="1">
      <c r="A22" s="605"/>
      <c r="B22" s="229"/>
      <c r="D22" s="664" t="s">
        <v>177</v>
      </c>
      <c r="E22" s="701">
        <v>34914</v>
      </c>
      <c r="F22" s="701">
        <v>33875</v>
      </c>
      <c r="G22" s="680">
        <f t="shared" si="1"/>
        <v>-2.9758835997021227</v>
      </c>
      <c r="H22" s="705">
        <v>666</v>
      </c>
      <c r="I22" s="704">
        <v>550.7</v>
      </c>
      <c r="J22" s="680">
        <f t="shared" si="3"/>
        <v>-17.312312312312304</v>
      </c>
      <c r="K22" s="700">
        <v>104.1</v>
      </c>
      <c r="L22" s="698">
        <v>119.2</v>
      </c>
      <c r="M22" s="680">
        <f t="shared" si="0"/>
        <v>14.505283381364077</v>
      </c>
      <c r="N22" s="700">
        <v>770.1</v>
      </c>
      <c r="O22" s="705">
        <v>669.9000000000001</v>
      </c>
      <c r="P22" s="679">
        <f t="shared" si="2"/>
        <v>-13.01129723412543</v>
      </c>
      <c r="Q22" s="141"/>
      <c r="R22" s="70"/>
    </row>
    <row r="23" spans="1:18" ht="13.5" customHeight="1">
      <c r="A23" s="605"/>
      <c r="B23" s="229"/>
      <c r="C23" s="589" t="s">
        <v>33</v>
      </c>
      <c r="D23" s="601"/>
      <c r="E23" s="701">
        <v>433242</v>
      </c>
      <c r="F23" s="701">
        <v>430302</v>
      </c>
      <c r="G23" s="679">
        <f t="shared" si="1"/>
        <v>-0.6786045674242125</v>
      </c>
      <c r="H23" s="705">
        <v>2856.7</v>
      </c>
      <c r="I23" s="705">
        <v>2938.5</v>
      </c>
      <c r="J23" s="680">
        <f t="shared" si="3"/>
        <v>2.8634438337942436</v>
      </c>
      <c r="K23" s="700">
        <v>9949</v>
      </c>
      <c r="L23" s="698">
        <v>7440.2</v>
      </c>
      <c r="M23" s="680">
        <f t="shared" si="0"/>
        <v>-25.216604683887834</v>
      </c>
      <c r="N23" s="700">
        <v>12805.7</v>
      </c>
      <c r="O23" s="705">
        <v>10378.7</v>
      </c>
      <c r="P23" s="679">
        <f t="shared" si="2"/>
        <v>-18.952497715860904</v>
      </c>
      <c r="Q23" s="141"/>
      <c r="R23" s="70"/>
    </row>
    <row r="24" spans="1:18" ht="13.5" customHeight="1">
      <c r="A24" s="605"/>
      <c r="B24" s="229"/>
      <c r="C24" s="589" t="s">
        <v>34</v>
      </c>
      <c r="D24" s="601"/>
      <c r="E24" s="701">
        <v>12783</v>
      </c>
      <c r="F24" s="701">
        <v>12568</v>
      </c>
      <c r="G24" s="679">
        <f t="shared" si="1"/>
        <v>-1.6819213017288615</v>
      </c>
      <c r="H24" s="705">
        <v>292.3</v>
      </c>
      <c r="I24" s="705">
        <v>309.6</v>
      </c>
      <c r="J24" s="680">
        <f t="shared" si="3"/>
        <v>5.918576804652753</v>
      </c>
      <c r="K24" s="700">
        <v>0</v>
      </c>
      <c r="L24" s="698">
        <v>0</v>
      </c>
      <c r="M24" s="680">
        <v>0</v>
      </c>
      <c r="N24" s="700">
        <v>292.3</v>
      </c>
      <c r="O24" s="705">
        <v>309.6</v>
      </c>
      <c r="P24" s="679">
        <f t="shared" si="2"/>
        <v>5.918576804652753</v>
      </c>
      <c r="Q24" s="141"/>
      <c r="R24" s="70"/>
    </row>
    <row r="25" spans="1:18" ht="13.5" customHeight="1">
      <c r="A25" s="605"/>
      <c r="B25" s="229"/>
      <c r="C25" s="589" t="s">
        <v>9</v>
      </c>
      <c r="D25" s="587"/>
      <c r="E25" s="706">
        <v>199686</v>
      </c>
      <c r="F25" s="706">
        <v>203490.6</v>
      </c>
      <c r="G25" s="665">
        <f t="shared" si="1"/>
        <v>1.9052913073525524</v>
      </c>
      <c r="H25" s="691">
        <v>4588.8</v>
      </c>
      <c r="I25" s="691">
        <v>3834.9</v>
      </c>
      <c r="J25" s="673">
        <f t="shared" si="3"/>
        <v>-16.429131799163176</v>
      </c>
      <c r="K25" s="692">
        <v>0</v>
      </c>
      <c r="L25" s="707">
        <v>0</v>
      </c>
      <c r="M25" s="730">
        <v>0</v>
      </c>
      <c r="N25" s="692">
        <v>4588.8</v>
      </c>
      <c r="O25" s="691">
        <v>3834.9</v>
      </c>
      <c r="P25" s="732">
        <f t="shared" si="2"/>
        <v>-16.429131799163176</v>
      </c>
      <c r="Q25" s="141"/>
      <c r="R25" s="70"/>
    </row>
    <row r="26" spans="1:18" ht="13.5" customHeight="1">
      <c r="A26" s="605"/>
      <c r="B26" s="229"/>
      <c r="C26" s="535" t="s">
        <v>290</v>
      </c>
      <c r="D26" s="582"/>
      <c r="E26" s="693">
        <v>33251</v>
      </c>
      <c r="F26" s="693">
        <v>44500</v>
      </c>
      <c r="G26" s="604">
        <f t="shared" si="1"/>
        <v>33.83056148687258</v>
      </c>
      <c r="H26" s="693">
        <v>558.6</v>
      </c>
      <c r="I26" s="693">
        <v>1210</v>
      </c>
      <c r="J26" s="672">
        <f t="shared" si="3"/>
        <v>116.61296097386322</v>
      </c>
      <c r="K26" s="694">
        <v>0</v>
      </c>
      <c r="L26" s="693">
        <v>0</v>
      </c>
      <c r="M26" s="681">
        <v>0</v>
      </c>
      <c r="N26" s="694">
        <v>558.6</v>
      </c>
      <c r="O26" s="693">
        <v>1210</v>
      </c>
      <c r="P26" s="676">
        <f t="shared" si="2"/>
        <v>116.61296097386322</v>
      </c>
      <c r="Q26" s="141"/>
      <c r="R26" s="70"/>
    </row>
    <row r="27" spans="1:18" ht="13.5" customHeight="1" thickBot="1">
      <c r="A27" s="605"/>
      <c r="B27" s="229"/>
      <c r="C27" s="592" t="s">
        <v>7</v>
      </c>
      <c r="D27" s="593"/>
      <c r="E27" s="708">
        <v>33251</v>
      </c>
      <c r="F27" s="708">
        <v>44500</v>
      </c>
      <c r="G27" s="669">
        <f t="shared" si="1"/>
        <v>33.83056148687258</v>
      </c>
      <c r="H27" s="709">
        <v>558.6</v>
      </c>
      <c r="I27" s="709">
        <v>1210</v>
      </c>
      <c r="J27" s="669">
        <f t="shared" si="3"/>
        <v>116.61296097386322</v>
      </c>
      <c r="K27" s="710">
        <v>0</v>
      </c>
      <c r="L27" s="708">
        <v>0</v>
      </c>
      <c r="M27" s="669">
        <v>0</v>
      </c>
      <c r="N27" s="710">
        <v>558.6</v>
      </c>
      <c r="O27" s="709">
        <v>1210</v>
      </c>
      <c r="P27" s="676">
        <f t="shared" si="2"/>
        <v>116.61296097386322</v>
      </c>
      <c r="Q27" s="141"/>
      <c r="R27" s="70"/>
    </row>
    <row r="28" spans="1:18" ht="13.5" customHeight="1" thickBot="1">
      <c r="A28" s="605"/>
      <c r="B28" s="229"/>
      <c r="C28" s="581" t="s">
        <v>16</v>
      </c>
      <c r="D28" s="594"/>
      <c r="E28" s="711">
        <v>12587</v>
      </c>
      <c r="F28" s="711">
        <v>10287</v>
      </c>
      <c r="G28" s="670">
        <f t="shared" si="1"/>
        <v>-18.27282116469373</v>
      </c>
      <c r="H28" s="712">
        <v>92.7</v>
      </c>
      <c r="I28" s="712">
        <v>94.6</v>
      </c>
      <c r="J28" s="670">
        <f>(I28/H28-1)*100</f>
        <v>2.049622437971954</v>
      </c>
      <c r="K28" s="713">
        <v>40</v>
      </c>
      <c r="L28" s="711">
        <v>36.3</v>
      </c>
      <c r="M28" s="571">
        <f t="shared" si="0"/>
        <v>-9.250000000000004</v>
      </c>
      <c r="N28" s="714">
        <v>132.7</v>
      </c>
      <c r="O28" s="715">
        <v>130.89999999999998</v>
      </c>
      <c r="P28" s="571">
        <f t="shared" si="2"/>
        <v>-1.3564431047475622</v>
      </c>
      <c r="Q28" s="141"/>
      <c r="R28" s="70"/>
    </row>
    <row r="29" spans="1:18" ht="13.5" customHeight="1" thickBot="1">
      <c r="A29" s="605"/>
      <c r="B29" s="229"/>
      <c r="C29" s="570" t="s">
        <v>426</v>
      </c>
      <c r="D29" s="594"/>
      <c r="E29" s="714">
        <v>234320</v>
      </c>
      <c r="F29" s="714">
        <v>235178</v>
      </c>
      <c r="G29" s="670">
        <f t="shared" si="1"/>
        <v>0.3661659269375228</v>
      </c>
      <c r="H29" s="715">
        <v>1331.3000000000002</v>
      </c>
      <c r="I29" s="715">
        <v>1162.1</v>
      </c>
      <c r="J29" s="670">
        <f>(I29/H29-1)*100</f>
        <v>-12.709381807256081</v>
      </c>
      <c r="K29" s="713">
        <v>2586</v>
      </c>
      <c r="L29" s="714">
        <v>2910.1</v>
      </c>
      <c r="M29" s="571">
        <f t="shared" si="0"/>
        <v>12.532869296210357</v>
      </c>
      <c r="N29" s="714">
        <v>3917.3</v>
      </c>
      <c r="O29" s="715">
        <v>4072.2</v>
      </c>
      <c r="P29" s="571">
        <f t="shared" si="2"/>
        <v>3.9542542057029006</v>
      </c>
      <c r="Q29" s="141"/>
      <c r="R29" s="70"/>
    </row>
    <row r="30" spans="1:18" ht="13.5" customHeight="1" thickBot="1">
      <c r="A30" s="605"/>
      <c r="B30" s="229"/>
      <c r="C30" s="581" t="s">
        <v>427</v>
      </c>
      <c r="E30" s="716">
        <v>1700292.8</v>
      </c>
      <c r="F30" s="716">
        <v>1684680.6</v>
      </c>
      <c r="G30" s="670">
        <f t="shared" si="1"/>
        <v>-0.9182065583057231</v>
      </c>
      <c r="H30" s="717">
        <v>30881.699999999997</v>
      </c>
      <c r="I30" s="717">
        <v>30038.3</v>
      </c>
      <c r="J30" s="670">
        <f>(I30/H30-1)*100</f>
        <v>-2.731067266374576</v>
      </c>
      <c r="K30" s="718">
        <v>10410.199999999999</v>
      </c>
      <c r="L30" s="716">
        <v>7906.9</v>
      </c>
      <c r="M30" s="571">
        <f t="shared" si="0"/>
        <v>-24.046608134329784</v>
      </c>
      <c r="N30" s="716">
        <v>41291.90000000001</v>
      </c>
      <c r="O30" s="717">
        <v>37945.2</v>
      </c>
      <c r="P30" s="571">
        <f t="shared" si="2"/>
        <v>-8.10497942695786</v>
      </c>
      <c r="Q30" s="141"/>
      <c r="R30" s="70"/>
    </row>
    <row r="31" spans="1:18" ht="23.25" customHeight="1" thickBot="1">
      <c r="A31" s="605"/>
      <c r="B31" s="229"/>
      <c r="C31" s="610" t="s">
        <v>12</v>
      </c>
      <c r="D31" s="611"/>
      <c r="E31" s="719">
        <v>1947199.8</v>
      </c>
      <c r="F31" s="719">
        <v>1930145.6</v>
      </c>
      <c r="G31" s="683">
        <f t="shared" si="1"/>
        <v>-0.8758320538036157</v>
      </c>
      <c r="H31" s="720">
        <v>32305.699999999997</v>
      </c>
      <c r="I31" s="720">
        <v>31295</v>
      </c>
      <c r="J31" s="684">
        <f>(I31/H31-1)*100</f>
        <v>-3.1285500701114577</v>
      </c>
      <c r="K31" s="719">
        <v>13036.199999999999</v>
      </c>
      <c r="L31" s="719">
        <v>10853.3</v>
      </c>
      <c r="M31" s="684">
        <f t="shared" si="0"/>
        <v>-16.744910326628926</v>
      </c>
      <c r="N31" s="719">
        <v>45341.90000000001</v>
      </c>
      <c r="O31" s="720">
        <v>42148.299999999996</v>
      </c>
      <c r="P31" s="684">
        <f t="shared" si="2"/>
        <v>-7.043374891656528</v>
      </c>
      <c r="Q31" s="141"/>
      <c r="R31" s="70"/>
    </row>
    <row r="32" spans="1:18" ht="15" customHeight="1">
      <c r="A32" s="605"/>
      <c r="B32" s="229"/>
      <c r="C32" s="210" t="s">
        <v>428</v>
      </c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208"/>
      <c r="R32" s="70"/>
    </row>
    <row r="33" spans="1:18" ht="15">
      <c r="A33" s="605"/>
      <c r="B33" s="605"/>
      <c r="C33" s="605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4:18" ht="15">
      <c r="D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/>
      <c r="R34"/>
    </row>
    <row r="35" spans="4:18" ht="15">
      <c r="D35"/>
      <c r="E35"/>
      <c r="F35" s="4"/>
      <c r="G35" s="4"/>
      <c r="H35"/>
      <c r="I35" s="4"/>
      <c r="J35" s="4"/>
      <c r="K35"/>
      <c r="L35" s="4"/>
      <c r="M35" s="4"/>
      <c r="N35"/>
      <c r="O35" s="4"/>
      <c r="P35" s="4"/>
      <c r="Q35"/>
      <c r="R35"/>
    </row>
    <row r="36" spans="4:18" ht="1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4:16" ht="15"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4:16" ht="15"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4:16" ht="15"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</sheetData>
  <sheetProtection/>
  <mergeCells count="7">
    <mergeCell ref="C2:P2"/>
    <mergeCell ref="C3:P3"/>
    <mergeCell ref="E4:G4"/>
    <mergeCell ref="H4:J4"/>
    <mergeCell ref="K4:M4"/>
    <mergeCell ref="N4:P4"/>
    <mergeCell ref="C4:D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I8" sqref="I8:I33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6.57421875" style="1" customWidth="1"/>
    <col min="4" max="4" width="27.28125" style="37" customWidth="1"/>
    <col min="5" max="6" width="17.7109375" style="37" customWidth="1"/>
    <col min="7" max="9" width="9.7109375" style="37" customWidth="1"/>
    <col min="10" max="10" width="16.28125" style="37" customWidth="1"/>
    <col min="11" max="11" width="6.7109375" style="1" customWidth="1"/>
    <col min="12" max="12" width="2.7109375" style="1" customWidth="1"/>
    <col min="13" max="16384" width="9.140625" style="1" customWidth="1"/>
  </cols>
  <sheetData>
    <row r="1" spans="1:12" ht="15">
      <c r="A1" s="605"/>
      <c r="B1" s="605"/>
      <c r="C1" s="605"/>
      <c r="D1" s="606"/>
      <c r="E1" s="606"/>
      <c r="F1" s="606"/>
      <c r="G1" s="606"/>
      <c r="H1" s="606"/>
      <c r="I1" s="606"/>
      <c r="J1" s="606"/>
      <c r="K1" s="605"/>
      <c r="L1" s="605"/>
    </row>
    <row r="2" spans="1:21" ht="13.5" customHeight="1">
      <c r="A2" s="605"/>
      <c r="B2" s="229"/>
      <c r="C2" s="229"/>
      <c r="D2" s="1015" t="s">
        <v>166</v>
      </c>
      <c r="E2" s="1015"/>
      <c r="F2" s="1015"/>
      <c r="G2" s="1015"/>
      <c r="H2" s="1015"/>
      <c r="I2" s="1015"/>
      <c r="J2" s="1015"/>
      <c r="K2" s="208"/>
      <c r="L2" s="70"/>
      <c r="M2"/>
      <c r="N2"/>
      <c r="O2"/>
      <c r="P2"/>
      <c r="Q2"/>
      <c r="R2"/>
      <c r="S2"/>
      <c r="T2"/>
      <c r="U2"/>
    </row>
    <row r="3" spans="1:21" ht="13.5" customHeight="1" thickBot="1">
      <c r="A3" s="605"/>
      <c r="B3" s="229"/>
      <c r="C3" s="607"/>
      <c r="D3" s="1016" t="s">
        <v>432</v>
      </c>
      <c r="E3" s="1016"/>
      <c r="F3" s="1016"/>
      <c r="G3" s="1016"/>
      <c r="H3" s="1016"/>
      <c r="I3" s="1016"/>
      <c r="J3" s="1016"/>
      <c r="K3" s="208"/>
      <c r="L3" s="70"/>
      <c r="M3"/>
      <c r="N3"/>
      <c r="O3"/>
      <c r="P3"/>
      <c r="Q3"/>
      <c r="R3"/>
      <c r="S3"/>
      <c r="T3"/>
      <c r="U3"/>
    </row>
    <row r="4" spans="1:21" ht="13.5" customHeight="1">
      <c r="A4" s="605"/>
      <c r="B4" s="229"/>
      <c r="C4" s="1011" t="s">
        <v>168</v>
      </c>
      <c r="D4" s="1012"/>
      <c r="E4" s="1017" t="s">
        <v>167</v>
      </c>
      <c r="F4" s="1017"/>
      <c r="G4" s="1018" t="s">
        <v>22</v>
      </c>
      <c r="H4" s="1011"/>
      <c r="I4" s="1012"/>
      <c r="J4" s="517"/>
      <c r="K4" s="208"/>
      <c r="L4" s="70"/>
      <c r="M4"/>
      <c r="N4"/>
      <c r="O4"/>
      <c r="P4"/>
      <c r="Q4"/>
      <c r="R4"/>
      <c r="S4"/>
      <c r="T4"/>
      <c r="U4"/>
    </row>
    <row r="5" spans="1:21" ht="13.5" customHeight="1">
      <c r="A5" s="605"/>
      <c r="B5" s="229"/>
      <c r="C5" s="1011"/>
      <c r="D5" s="1012"/>
      <c r="E5" s="518" t="s">
        <v>169</v>
      </c>
      <c r="F5" s="518" t="s">
        <v>170</v>
      </c>
      <c r="G5" s="1019" t="s">
        <v>171</v>
      </c>
      <c r="H5" s="1020"/>
      <c r="I5" s="1021"/>
      <c r="J5" s="231" t="s">
        <v>172</v>
      </c>
      <c r="K5" s="208"/>
      <c r="L5" s="70"/>
      <c r="M5"/>
      <c r="N5"/>
      <c r="O5"/>
      <c r="P5"/>
      <c r="Q5"/>
      <c r="R5"/>
      <c r="S5"/>
      <c r="T5"/>
      <c r="U5"/>
    </row>
    <row r="6" spans="1:21" ht="13.5" customHeight="1">
      <c r="A6" s="605"/>
      <c r="B6" s="229"/>
      <c r="C6" s="1011"/>
      <c r="D6" s="1012"/>
      <c r="E6" s="518" t="s">
        <v>21</v>
      </c>
      <c r="F6" s="518" t="s">
        <v>21</v>
      </c>
      <c r="G6" s="1022" t="s">
        <v>52</v>
      </c>
      <c r="H6" s="1024" t="s">
        <v>53</v>
      </c>
      <c r="I6" s="1024" t="s">
        <v>120</v>
      </c>
      <c r="J6" s="1011" t="s">
        <v>173</v>
      </c>
      <c r="K6" s="208"/>
      <c r="L6" s="70"/>
      <c r="M6"/>
      <c r="N6"/>
      <c r="O6"/>
      <c r="P6"/>
      <c r="Q6"/>
      <c r="R6"/>
      <c r="S6"/>
      <c r="T6"/>
      <c r="U6"/>
    </row>
    <row r="7" spans="1:21" ht="13.5" customHeight="1" thickBot="1">
      <c r="A7" s="605"/>
      <c r="B7" s="229"/>
      <c r="C7" s="1013"/>
      <c r="D7" s="1014"/>
      <c r="E7" s="374" t="s">
        <v>174</v>
      </c>
      <c r="F7" s="374" t="s">
        <v>174</v>
      </c>
      <c r="G7" s="1023"/>
      <c r="H7" s="1025"/>
      <c r="I7" s="1025"/>
      <c r="J7" s="1013"/>
      <c r="K7" s="208"/>
      <c r="L7" s="70"/>
      <c r="M7"/>
      <c r="N7"/>
      <c r="O7"/>
      <c r="P7"/>
      <c r="Q7"/>
      <c r="R7"/>
      <c r="S7"/>
      <c r="T7"/>
      <c r="U7"/>
    </row>
    <row r="8" spans="1:21" ht="13.5" customHeight="1">
      <c r="A8" s="605"/>
      <c r="B8" s="229"/>
      <c r="C8" s="582" t="s">
        <v>293</v>
      </c>
      <c r="D8" s="587"/>
      <c r="E8" s="604">
        <f>SUM(E9:E10)</f>
        <v>8105</v>
      </c>
      <c r="F8" s="604">
        <f>SUM(F9:F10)</f>
        <v>90381</v>
      </c>
      <c r="G8" s="604">
        <f>SUM(G9:G10)</f>
        <v>0</v>
      </c>
      <c r="H8" s="604">
        <f>SUM(H9:H10)</f>
        <v>1546</v>
      </c>
      <c r="I8" s="604">
        <f>SUM(I9:I10)</f>
        <v>1546</v>
      </c>
      <c r="J8" s="375">
        <f aca="true" t="shared" si="0" ref="J8:J33">(I8/F8)*1000</f>
        <v>17.105365065666454</v>
      </c>
      <c r="K8" s="208"/>
      <c r="L8" s="70"/>
      <c r="M8"/>
      <c r="N8"/>
      <c r="O8"/>
      <c r="P8"/>
      <c r="Q8"/>
      <c r="R8"/>
      <c r="S8"/>
      <c r="T8"/>
      <c r="U8"/>
    </row>
    <row r="9" spans="1:21" ht="13.5" customHeight="1">
      <c r="A9" s="605"/>
      <c r="B9" s="229"/>
      <c r="C9" s="583" t="s">
        <v>4</v>
      </c>
      <c r="D9" s="600"/>
      <c r="E9" s="537">
        <v>8040</v>
      </c>
      <c r="F9" s="538">
        <v>86004</v>
      </c>
      <c r="G9" s="539">
        <v>0</v>
      </c>
      <c r="H9" s="540">
        <v>1477.3</v>
      </c>
      <c r="I9" s="541">
        <f>H9+G9</f>
        <v>1477.3</v>
      </c>
      <c r="J9" s="542">
        <f t="shared" si="0"/>
        <v>17.17710804148644</v>
      </c>
      <c r="K9" s="208"/>
      <c r="L9" s="70"/>
      <c r="M9"/>
      <c r="N9"/>
      <c r="O9"/>
      <c r="P9"/>
      <c r="Q9"/>
      <c r="R9"/>
      <c r="S9"/>
      <c r="T9"/>
      <c r="U9"/>
    </row>
    <row r="10" spans="1:21" ht="13.5" customHeight="1">
      <c r="A10" s="605"/>
      <c r="B10" s="229"/>
      <c r="C10" s="584" t="s">
        <v>5</v>
      </c>
      <c r="D10" s="587"/>
      <c r="E10" s="543">
        <v>65</v>
      </c>
      <c r="F10" s="544">
        <v>4377</v>
      </c>
      <c r="G10" s="545">
        <v>0</v>
      </c>
      <c r="H10" s="546">
        <v>68.7</v>
      </c>
      <c r="I10" s="547">
        <f>H10+G10</f>
        <v>68.7</v>
      </c>
      <c r="J10" s="548">
        <f t="shared" si="0"/>
        <v>15.695681973954764</v>
      </c>
      <c r="K10" s="208"/>
      <c r="L10" s="70"/>
      <c r="M10"/>
      <c r="N10"/>
      <c r="O10"/>
      <c r="P10"/>
      <c r="Q10"/>
      <c r="R10"/>
      <c r="S10"/>
      <c r="T10"/>
      <c r="U10"/>
    </row>
    <row r="11" spans="1:21" ht="13.5" customHeight="1">
      <c r="A11" s="605"/>
      <c r="B11" s="229"/>
      <c r="C11" s="535" t="s">
        <v>423</v>
      </c>
      <c r="D11" s="586"/>
      <c r="E11" s="536">
        <f>E12</f>
        <v>13262.4</v>
      </c>
      <c r="F11" s="536">
        <f>F12</f>
        <v>143939</v>
      </c>
      <c r="G11" s="536">
        <f>G12</f>
        <v>1331.3000000000002</v>
      </c>
      <c r="H11" s="536">
        <f>H12</f>
        <v>1040</v>
      </c>
      <c r="I11" s="536">
        <f>I12</f>
        <v>2371.3</v>
      </c>
      <c r="J11" s="376">
        <f t="shared" si="0"/>
        <v>16.474339824508995</v>
      </c>
      <c r="K11" s="208"/>
      <c r="L11" s="70"/>
      <c r="M11"/>
      <c r="N11"/>
      <c r="O11"/>
      <c r="P11"/>
      <c r="Q11"/>
      <c r="R11"/>
      <c r="S11"/>
      <c r="T11"/>
      <c r="U11"/>
    </row>
    <row r="12" spans="1:21" ht="13.5" customHeight="1">
      <c r="A12" s="605"/>
      <c r="B12" s="229"/>
      <c r="C12" s="585" t="s">
        <v>6</v>
      </c>
      <c r="E12" s="537">
        <f>SUM(E13:E15)</f>
        <v>13262.4</v>
      </c>
      <c r="F12" s="537">
        <f>SUM(F13:F15)</f>
        <v>143939</v>
      </c>
      <c r="G12" s="537">
        <f>SUM(G13:G15)</f>
        <v>1331.3000000000002</v>
      </c>
      <c r="H12" s="537">
        <f>SUM(H13:H15)</f>
        <v>1040</v>
      </c>
      <c r="I12" s="537">
        <f>SUM(I13:I15)</f>
        <v>2371.3</v>
      </c>
      <c r="J12" s="542">
        <f t="shared" si="0"/>
        <v>16.474339824508995</v>
      </c>
      <c r="K12" s="208"/>
      <c r="L12" s="70"/>
      <c r="M12"/>
      <c r="N12"/>
      <c r="O12"/>
      <c r="P12"/>
      <c r="Q12"/>
      <c r="R12"/>
      <c r="S12"/>
      <c r="T12"/>
      <c r="U12"/>
    </row>
    <row r="13" spans="1:21" ht="13.5" customHeight="1">
      <c r="A13" s="605"/>
      <c r="B13" s="229"/>
      <c r="C13" s="598"/>
      <c r="D13" s="578" t="s">
        <v>237</v>
      </c>
      <c r="E13" s="549">
        <v>3820</v>
      </c>
      <c r="F13" s="550">
        <v>11973</v>
      </c>
      <c r="G13" s="551">
        <v>435.1</v>
      </c>
      <c r="H13" s="552">
        <v>0</v>
      </c>
      <c r="I13" s="553">
        <f>H13+G13</f>
        <v>435.1</v>
      </c>
      <c r="J13" s="554">
        <f t="shared" si="0"/>
        <v>36.34009855508227</v>
      </c>
      <c r="K13" s="208"/>
      <c r="L13" s="70"/>
      <c r="M13"/>
      <c r="N13"/>
      <c r="O13"/>
      <c r="P13"/>
      <c r="Q13"/>
      <c r="R13"/>
      <c r="S13"/>
      <c r="T13"/>
      <c r="U13"/>
    </row>
    <row r="14" spans="1:21" ht="13.5" customHeight="1">
      <c r="A14" s="605"/>
      <c r="B14" s="229"/>
      <c r="C14" s="599"/>
      <c r="D14" s="578" t="s">
        <v>238</v>
      </c>
      <c r="E14" s="549">
        <v>4187.4</v>
      </c>
      <c r="F14" s="550">
        <v>99366</v>
      </c>
      <c r="G14" s="551">
        <v>896.2</v>
      </c>
      <c r="H14" s="552">
        <v>0</v>
      </c>
      <c r="I14" s="555">
        <f>H14+G14</f>
        <v>896.2</v>
      </c>
      <c r="J14" s="556">
        <f t="shared" si="0"/>
        <v>9.01918161141638</v>
      </c>
      <c r="K14" s="208"/>
      <c r="L14" s="70"/>
      <c r="M14"/>
      <c r="N14"/>
      <c r="O14"/>
      <c r="P14"/>
      <c r="Q14"/>
      <c r="R14"/>
      <c r="S14"/>
      <c r="T14"/>
      <c r="U14"/>
    </row>
    <row r="15" spans="1:21" ht="13.5" customHeight="1">
      <c r="A15" s="605"/>
      <c r="B15" s="229"/>
      <c r="D15" s="588" t="s">
        <v>239</v>
      </c>
      <c r="E15" s="543">
        <v>5255</v>
      </c>
      <c r="F15" s="544">
        <v>32600</v>
      </c>
      <c r="G15" s="545">
        <v>0</v>
      </c>
      <c r="H15" s="557">
        <v>1040</v>
      </c>
      <c r="I15" s="547">
        <f>H15+G15</f>
        <v>1040</v>
      </c>
      <c r="J15" s="548">
        <f t="shared" si="0"/>
        <v>31.90184049079755</v>
      </c>
      <c r="K15" s="208"/>
      <c r="L15" s="70"/>
      <c r="M15"/>
      <c r="N15"/>
      <c r="O15"/>
      <c r="P15"/>
      <c r="Q15"/>
      <c r="R15"/>
      <c r="S15"/>
      <c r="T15"/>
      <c r="U15"/>
    </row>
    <row r="16" spans="1:21" ht="13.5" customHeight="1">
      <c r="A16" s="605"/>
      <c r="B16" s="229"/>
      <c r="C16" s="535" t="s">
        <v>424</v>
      </c>
      <c r="D16" s="586"/>
      <c r="E16" s="536">
        <f>SUM(E17:E18)</f>
        <v>3254</v>
      </c>
      <c r="F16" s="536">
        <f>SUM(F17:F18)</f>
        <v>26251.8</v>
      </c>
      <c r="G16" s="536">
        <f>SUM(G17:G18)</f>
        <v>238.6</v>
      </c>
      <c r="H16" s="536">
        <f>SUM(H17:H18)</f>
        <v>163.8</v>
      </c>
      <c r="I16" s="536">
        <f>SUM(I17:I18)</f>
        <v>402.4</v>
      </c>
      <c r="J16" s="376">
        <f t="shared" si="0"/>
        <v>15.328472714251975</v>
      </c>
      <c r="K16" s="208"/>
      <c r="L16" s="70"/>
      <c r="M16"/>
      <c r="N16"/>
      <c r="O16"/>
      <c r="P16"/>
      <c r="Q16"/>
      <c r="R16"/>
      <c r="S16"/>
      <c r="T16"/>
      <c r="U16"/>
    </row>
    <row r="17" spans="1:21" ht="13.5" customHeight="1">
      <c r="A17" s="605"/>
      <c r="B17" s="229"/>
      <c r="C17" s="585" t="s">
        <v>10</v>
      </c>
      <c r="D17" s="600"/>
      <c r="E17" s="537">
        <v>1683</v>
      </c>
      <c r="F17" s="538">
        <v>20115</v>
      </c>
      <c r="G17" s="539">
        <v>2</v>
      </c>
      <c r="H17" s="558">
        <v>163.8</v>
      </c>
      <c r="I17" s="541">
        <f>H17+G17</f>
        <v>165.8</v>
      </c>
      <c r="J17" s="542">
        <f t="shared" si="0"/>
        <v>8.242605021128512</v>
      </c>
      <c r="K17" s="208"/>
      <c r="L17" s="70"/>
      <c r="M17"/>
      <c r="N17"/>
      <c r="O17"/>
      <c r="P17"/>
      <c r="Q17"/>
      <c r="R17"/>
      <c r="S17"/>
      <c r="T17"/>
      <c r="U17"/>
    </row>
    <row r="18" spans="1:21" ht="13.5" customHeight="1">
      <c r="A18" s="605"/>
      <c r="B18" s="229"/>
      <c r="C18" s="584" t="s">
        <v>11</v>
      </c>
      <c r="D18" s="587"/>
      <c r="E18" s="543">
        <v>1571</v>
      </c>
      <c r="F18" s="544">
        <v>6136.8</v>
      </c>
      <c r="G18" s="545">
        <v>236.6</v>
      </c>
      <c r="H18" s="559">
        <v>0</v>
      </c>
      <c r="I18" s="547">
        <f>H18+G18</f>
        <v>236.6</v>
      </c>
      <c r="J18" s="548">
        <f t="shared" si="0"/>
        <v>38.55429539825316</v>
      </c>
      <c r="K18" s="208"/>
      <c r="L18" s="70"/>
      <c r="M18"/>
      <c r="N18"/>
      <c r="O18"/>
      <c r="P18"/>
      <c r="Q18"/>
      <c r="R18"/>
      <c r="S18"/>
      <c r="T18"/>
      <c r="U18"/>
    </row>
    <row r="19" spans="1:21" ht="13.5" customHeight="1">
      <c r="A19" s="605"/>
      <c r="B19" s="229"/>
      <c r="C19" s="535" t="s">
        <v>425</v>
      </c>
      <c r="D19" s="586"/>
      <c r="E19" s="536">
        <f>E20+E25+E26+E27</f>
        <v>260133</v>
      </c>
      <c r="F19" s="536">
        <f>F20+F25+F26+F27</f>
        <v>1640790</v>
      </c>
      <c r="G19" s="536">
        <f>G20+G25+G26+G27</f>
        <v>30084.5</v>
      </c>
      <c r="H19" s="536">
        <f>H20+H25+H26+H27</f>
        <v>10246.4</v>
      </c>
      <c r="I19" s="536">
        <f>I20+I25+I26+I27</f>
        <v>40330.90000000001</v>
      </c>
      <c r="J19" s="376">
        <f t="shared" si="0"/>
        <v>24.580171746536735</v>
      </c>
      <c r="K19" s="208"/>
      <c r="L19" s="70"/>
      <c r="M19"/>
      <c r="N19"/>
      <c r="O19"/>
      <c r="P19"/>
      <c r="Q19"/>
      <c r="R19"/>
      <c r="S19"/>
      <c r="T19"/>
      <c r="U19"/>
    </row>
    <row r="20" spans="1:21" ht="13.5" customHeight="1">
      <c r="A20" s="605"/>
      <c r="B20" s="229"/>
      <c r="C20" s="589" t="s">
        <v>8</v>
      </c>
      <c r="D20" s="600"/>
      <c r="E20" s="590">
        <f>SUM(E21:E24)</f>
        <v>206340</v>
      </c>
      <c r="F20" s="537">
        <f>SUM(F21:F24)</f>
        <v>995079</v>
      </c>
      <c r="G20" s="537">
        <f>SUM(G21:G24)</f>
        <v>22346.7</v>
      </c>
      <c r="H20" s="537">
        <f>SUM(H21:H24)</f>
        <v>297.4</v>
      </c>
      <c r="I20" s="537">
        <f>SUM(I21:I24)</f>
        <v>22644.1</v>
      </c>
      <c r="J20" s="542">
        <f t="shared" si="0"/>
        <v>22.756082682882464</v>
      </c>
      <c r="K20" s="208"/>
      <c r="L20" s="70"/>
      <c r="M20"/>
      <c r="N20"/>
      <c r="O20"/>
      <c r="P20"/>
      <c r="Q20"/>
      <c r="R20"/>
      <c r="S20"/>
      <c r="T20"/>
      <c r="U20"/>
    </row>
    <row r="21" spans="1:21" ht="13.5" customHeight="1">
      <c r="A21" s="605"/>
      <c r="B21" s="229"/>
      <c r="C21" s="598"/>
      <c r="D21" s="591" t="s">
        <v>175</v>
      </c>
      <c r="E21" s="549">
        <v>120480</v>
      </c>
      <c r="F21" s="550">
        <v>501214</v>
      </c>
      <c r="G21" s="551">
        <v>10803.7</v>
      </c>
      <c r="H21" s="560">
        <v>0</v>
      </c>
      <c r="I21" s="555">
        <f aca="true" t="shared" si="1" ref="I21:I27">H21+G21</f>
        <v>10803.7</v>
      </c>
      <c r="J21" s="556">
        <f t="shared" si="0"/>
        <v>21.555064303870207</v>
      </c>
      <c r="K21" s="208"/>
      <c r="L21" s="70"/>
      <c r="M21"/>
      <c r="N21"/>
      <c r="O21"/>
      <c r="P21"/>
      <c r="Q21"/>
      <c r="R21"/>
      <c r="S21"/>
      <c r="T21"/>
      <c r="U21"/>
    </row>
    <row r="22" spans="1:21" ht="13.5" customHeight="1">
      <c r="A22" s="605"/>
      <c r="B22" s="229"/>
      <c r="C22" s="599"/>
      <c r="D22" s="579" t="s">
        <v>176</v>
      </c>
      <c r="E22" s="549">
        <v>26163</v>
      </c>
      <c r="F22" s="550">
        <v>174369</v>
      </c>
      <c r="G22" s="551">
        <v>5765.5</v>
      </c>
      <c r="H22" s="560">
        <v>0</v>
      </c>
      <c r="I22" s="553">
        <f t="shared" si="1"/>
        <v>5765.5</v>
      </c>
      <c r="J22" s="554">
        <f t="shared" si="0"/>
        <v>33.06493700141654</v>
      </c>
      <c r="K22" s="208"/>
      <c r="L22" s="70"/>
      <c r="M22"/>
      <c r="N22"/>
      <c r="O22"/>
      <c r="P22"/>
      <c r="Q22"/>
      <c r="R22"/>
      <c r="S22"/>
      <c r="T22"/>
      <c r="U22"/>
    </row>
    <row r="23" spans="1:21" ht="13.5" customHeight="1">
      <c r="A23" s="605"/>
      <c r="B23" s="229"/>
      <c r="C23" s="599"/>
      <c r="D23" s="580" t="s">
        <v>429</v>
      </c>
      <c r="E23" s="549">
        <v>57776</v>
      </c>
      <c r="F23" s="550">
        <v>284582</v>
      </c>
      <c r="G23" s="551">
        <v>5111.5</v>
      </c>
      <c r="H23" s="558">
        <v>193.3</v>
      </c>
      <c r="I23" s="553">
        <f t="shared" si="1"/>
        <v>5304.8</v>
      </c>
      <c r="J23" s="554">
        <f t="shared" si="0"/>
        <v>18.64067298704767</v>
      </c>
      <c r="K23" s="208"/>
      <c r="L23" s="70"/>
      <c r="M23"/>
      <c r="N23"/>
      <c r="O23"/>
      <c r="P23"/>
      <c r="Q23"/>
      <c r="R23"/>
      <c r="S23"/>
      <c r="T23"/>
      <c r="U23"/>
    </row>
    <row r="24" spans="1:21" ht="13.5" customHeight="1">
      <c r="A24" s="605"/>
      <c r="B24" s="229"/>
      <c r="D24" s="597" t="s">
        <v>177</v>
      </c>
      <c r="E24" s="549">
        <v>1921</v>
      </c>
      <c r="F24" s="550">
        <v>34914</v>
      </c>
      <c r="G24" s="551">
        <v>666</v>
      </c>
      <c r="H24" s="558">
        <v>104.1</v>
      </c>
      <c r="I24" s="561">
        <f t="shared" si="1"/>
        <v>770.1</v>
      </c>
      <c r="J24" s="554">
        <f t="shared" si="0"/>
        <v>22.057054476714214</v>
      </c>
      <c r="K24" s="208"/>
      <c r="L24" s="70"/>
      <c r="M24"/>
      <c r="N24"/>
      <c r="O24"/>
      <c r="P24"/>
      <c r="Q24"/>
      <c r="R24"/>
      <c r="S24"/>
      <c r="T24"/>
      <c r="U24"/>
    </row>
    <row r="25" spans="1:21" ht="13.5" customHeight="1">
      <c r="A25" s="605"/>
      <c r="B25" s="229"/>
      <c r="C25" s="589" t="s">
        <v>33</v>
      </c>
      <c r="D25" s="601"/>
      <c r="E25" s="595">
        <v>41443</v>
      </c>
      <c r="F25" s="550">
        <v>433242</v>
      </c>
      <c r="G25" s="551">
        <v>2856.7</v>
      </c>
      <c r="H25" s="552">
        <v>9949</v>
      </c>
      <c r="I25" s="561">
        <f t="shared" si="1"/>
        <v>12805.7</v>
      </c>
      <c r="J25" s="554">
        <f t="shared" si="0"/>
        <v>29.557845268925913</v>
      </c>
      <c r="K25" s="208"/>
      <c r="L25" s="70"/>
      <c r="M25"/>
      <c r="N25"/>
      <c r="O25"/>
      <c r="P25"/>
      <c r="Q25"/>
      <c r="R25"/>
      <c r="S25"/>
      <c r="T25"/>
      <c r="U25"/>
    </row>
    <row r="26" spans="1:21" ht="13.5" customHeight="1">
      <c r="A26" s="605"/>
      <c r="B26" s="229"/>
      <c r="C26" s="589" t="s">
        <v>34</v>
      </c>
      <c r="D26" s="601"/>
      <c r="E26" s="595">
        <v>0</v>
      </c>
      <c r="F26" s="550">
        <v>12783</v>
      </c>
      <c r="G26" s="551">
        <v>292.3</v>
      </c>
      <c r="H26" s="562">
        <v>0</v>
      </c>
      <c r="I26" s="561">
        <f t="shared" si="1"/>
        <v>292.3</v>
      </c>
      <c r="J26" s="554">
        <f t="shared" si="0"/>
        <v>22.866306813736994</v>
      </c>
      <c r="K26" s="208"/>
      <c r="L26" s="71"/>
      <c r="M26"/>
      <c r="N26"/>
      <c r="O26"/>
      <c r="P26"/>
      <c r="Q26"/>
      <c r="R26"/>
      <c r="S26"/>
      <c r="T26"/>
      <c r="U26"/>
    </row>
    <row r="27" spans="1:21" ht="13.5" customHeight="1">
      <c r="A27" s="605"/>
      <c r="B27" s="229"/>
      <c r="C27" s="589" t="s">
        <v>9</v>
      </c>
      <c r="D27" s="587"/>
      <c r="E27" s="596">
        <v>12350</v>
      </c>
      <c r="F27" s="563">
        <v>199686</v>
      </c>
      <c r="G27" s="545">
        <v>4588.8</v>
      </c>
      <c r="H27" s="559">
        <v>0</v>
      </c>
      <c r="I27" s="547">
        <f t="shared" si="1"/>
        <v>4588.8</v>
      </c>
      <c r="J27" s="548">
        <f t="shared" si="0"/>
        <v>22.980078723596044</v>
      </c>
      <c r="K27" s="208"/>
      <c r="L27" s="71"/>
      <c r="M27"/>
      <c r="N27"/>
      <c r="O27"/>
      <c r="P27"/>
      <c r="Q27"/>
      <c r="R27"/>
      <c r="S27"/>
      <c r="T27"/>
      <c r="U27"/>
    </row>
    <row r="28" spans="1:21" ht="13.5" customHeight="1">
      <c r="A28" s="605"/>
      <c r="B28" s="229"/>
      <c r="C28" s="535" t="s">
        <v>290</v>
      </c>
      <c r="D28" s="582"/>
      <c r="E28" s="536">
        <f>E29</f>
        <v>22248</v>
      </c>
      <c r="F28" s="536">
        <f>F29</f>
        <v>33251</v>
      </c>
      <c r="G28" s="536">
        <f>G29</f>
        <v>558.6</v>
      </c>
      <c r="H28" s="536">
        <f>H29</f>
        <v>0</v>
      </c>
      <c r="I28" s="536">
        <f>I29</f>
        <v>558.6</v>
      </c>
      <c r="J28" s="376">
        <f t="shared" si="0"/>
        <v>16.799494752037536</v>
      </c>
      <c r="K28" s="208"/>
      <c r="L28" s="70"/>
      <c r="M28"/>
      <c r="N28"/>
      <c r="O28"/>
      <c r="P28"/>
      <c r="Q28"/>
      <c r="R28"/>
      <c r="S28"/>
      <c r="T28"/>
      <c r="U28"/>
    </row>
    <row r="29" spans="1:21" ht="13.5" customHeight="1" thickBot="1">
      <c r="A29" s="605"/>
      <c r="B29" s="229"/>
      <c r="C29" s="592" t="s">
        <v>7</v>
      </c>
      <c r="D29" s="593"/>
      <c r="E29" s="564">
        <v>22248</v>
      </c>
      <c r="F29" s="565">
        <v>33251</v>
      </c>
      <c r="G29" s="566">
        <v>558.6</v>
      </c>
      <c r="H29" s="567">
        <v>0</v>
      </c>
      <c r="I29" s="568">
        <f>H29+G29</f>
        <v>558.6</v>
      </c>
      <c r="J29" s="569">
        <f t="shared" si="0"/>
        <v>16.799494752037536</v>
      </c>
      <c r="K29" s="208"/>
      <c r="L29" s="70"/>
      <c r="M29"/>
      <c r="N29"/>
      <c r="O29"/>
      <c r="P29"/>
      <c r="Q29"/>
      <c r="R29"/>
      <c r="S29"/>
      <c r="T29"/>
      <c r="U29"/>
    </row>
    <row r="30" spans="1:21" ht="13.5" customHeight="1" thickBot="1">
      <c r="A30" s="605"/>
      <c r="B30" s="229"/>
      <c r="C30" s="581" t="s">
        <v>16</v>
      </c>
      <c r="D30" s="594"/>
      <c r="E30" s="571">
        <v>950</v>
      </c>
      <c r="F30" s="572">
        <v>12587</v>
      </c>
      <c r="G30" s="573">
        <v>92.7</v>
      </c>
      <c r="H30" s="574">
        <v>40</v>
      </c>
      <c r="I30" s="632">
        <f>H30+G30</f>
        <v>132.7</v>
      </c>
      <c r="J30" s="576">
        <f t="shared" si="0"/>
        <v>10.54262334154286</v>
      </c>
      <c r="K30" s="208"/>
      <c r="L30" s="70"/>
      <c r="M30"/>
      <c r="N30"/>
      <c r="O30"/>
      <c r="P30"/>
      <c r="Q30"/>
      <c r="R30"/>
      <c r="S30"/>
      <c r="T30"/>
      <c r="U30"/>
    </row>
    <row r="31" spans="1:21" ht="13.5" customHeight="1" thickBot="1">
      <c r="A31" s="605"/>
      <c r="B31" s="229"/>
      <c r="C31" s="570" t="s">
        <v>426</v>
      </c>
      <c r="D31" s="594"/>
      <c r="E31" s="571">
        <f>E8+E11</f>
        <v>21367.4</v>
      </c>
      <c r="F31" s="571">
        <f>F8+F11</f>
        <v>234320</v>
      </c>
      <c r="G31" s="573">
        <f>G8+G11</f>
        <v>1331.3000000000002</v>
      </c>
      <c r="H31" s="573">
        <f>H8+H11</f>
        <v>2586</v>
      </c>
      <c r="I31" s="573">
        <f>I8+I11</f>
        <v>3917.3</v>
      </c>
      <c r="J31" s="230">
        <f t="shared" si="0"/>
        <v>16.717736428815297</v>
      </c>
      <c r="K31" s="208"/>
      <c r="L31" s="70"/>
      <c r="M31"/>
      <c r="N31"/>
      <c r="O31"/>
      <c r="P31"/>
      <c r="Q31"/>
      <c r="R31"/>
      <c r="S31"/>
      <c r="T31"/>
      <c r="U31"/>
    </row>
    <row r="32" spans="1:21" ht="13.5" customHeight="1" thickBot="1">
      <c r="A32" s="605"/>
      <c r="B32" s="229"/>
      <c r="C32" s="581" t="s">
        <v>427</v>
      </c>
      <c r="E32" s="577">
        <f>E16+E19+E28</f>
        <v>285635</v>
      </c>
      <c r="F32" s="577">
        <f>F16+F19+F28</f>
        <v>1700292.8</v>
      </c>
      <c r="G32" s="602">
        <f>G16+G19+G28</f>
        <v>30881.699999999997</v>
      </c>
      <c r="H32" s="602">
        <f>H16+H19+H28</f>
        <v>10410.199999999999</v>
      </c>
      <c r="I32" s="602">
        <f>I16+I19+I28</f>
        <v>41291.90000000001</v>
      </c>
      <c r="J32" s="603">
        <f t="shared" si="0"/>
        <v>24.285170177748213</v>
      </c>
      <c r="K32" s="208"/>
      <c r="L32" s="70"/>
      <c r="M32"/>
      <c r="N32"/>
      <c r="O32"/>
      <c r="P32"/>
      <c r="Q32"/>
      <c r="R32"/>
      <c r="S32"/>
      <c r="T32"/>
      <c r="U32"/>
    </row>
    <row r="33" spans="1:21" ht="15" customHeight="1" thickBot="1">
      <c r="A33" s="605"/>
      <c r="B33" s="229"/>
      <c r="C33" s="610" t="s">
        <v>12</v>
      </c>
      <c r="D33" s="611"/>
      <c r="E33" s="612">
        <f>E30+E31+E32</f>
        <v>307952.4</v>
      </c>
      <c r="F33" s="612">
        <f>F30+F31+F32</f>
        <v>1947199.8</v>
      </c>
      <c r="G33" s="612">
        <f>G30+G31+G32</f>
        <v>32305.699999999997</v>
      </c>
      <c r="H33" s="612">
        <f>H30+H31+H32</f>
        <v>13036.199999999999</v>
      </c>
      <c r="I33" s="613">
        <f>I30+I31+I32</f>
        <v>45341.90000000001</v>
      </c>
      <c r="J33" s="614">
        <f t="shared" si="0"/>
        <v>23.285694667799373</v>
      </c>
      <c r="K33" s="208"/>
      <c r="L33" s="70"/>
      <c r="M33"/>
      <c r="N33"/>
      <c r="O33"/>
      <c r="P33"/>
      <c r="Q33"/>
      <c r="R33"/>
      <c r="S33"/>
      <c r="T33"/>
      <c r="U33"/>
    </row>
    <row r="34" spans="1:21" ht="15" customHeight="1">
      <c r="A34" s="605"/>
      <c r="B34" s="229"/>
      <c r="C34" s="210" t="s">
        <v>428</v>
      </c>
      <c r="D34" s="608"/>
      <c r="E34" s="608"/>
      <c r="F34" s="608"/>
      <c r="G34" s="608"/>
      <c r="H34" s="608"/>
      <c r="I34" s="609"/>
      <c r="J34" s="608"/>
      <c r="K34" s="208"/>
      <c r="L34" s="70"/>
      <c r="M34"/>
      <c r="N34"/>
      <c r="O34"/>
      <c r="P34"/>
      <c r="Q34"/>
      <c r="R34"/>
      <c r="S34"/>
      <c r="T34"/>
      <c r="U34"/>
    </row>
    <row r="35" spans="1:21" ht="15">
      <c r="A35" s="605"/>
      <c r="B35" s="605"/>
      <c r="C35" s="605"/>
      <c r="D35" s="70"/>
      <c r="E35" s="70"/>
      <c r="F35" s="70"/>
      <c r="G35" s="70"/>
      <c r="H35" s="70"/>
      <c r="I35" s="70"/>
      <c r="J35" s="70"/>
      <c r="K35" s="70"/>
      <c r="L35" s="70"/>
      <c r="M35"/>
      <c r="N35"/>
      <c r="O35"/>
      <c r="P35"/>
      <c r="Q35"/>
      <c r="R35"/>
      <c r="S35"/>
      <c r="T35"/>
      <c r="U35"/>
    </row>
    <row r="36" spans="4:21" ht="15">
      <c r="D36"/>
      <c r="E36" s="4"/>
      <c r="F36" s="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4:21" ht="15">
      <c r="D37"/>
      <c r="E37"/>
      <c r="F37" s="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4:21" ht="1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4:16" ht="15">
      <c r="D39"/>
      <c r="E39"/>
      <c r="F39"/>
      <c r="G39"/>
      <c r="H39"/>
      <c r="I39" s="4"/>
      <c r="J39"/>
      <c r="K39"/>
      <c r="L39"/>
      <c r="M39"/>
      <c r="N39"/>
      <c r="O39"/>
      <c r="P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ht="15">
      <c r="D60"/>
      <c r="E60"/>
      <c r="F60"/>
      <c r="G60"/>
      <c r="H60"/>
      <c r="I60"/>
      <c r="J60"/>
      <c r="K60"/>
      <c r="L60"/>
      <c r="M60"/>
      <c r="N60"/>
      <c r="O60"/>
      <c r="P60"/>
    </row>
  </sheetData>
  <sheetProtection/>
  <mergeCells count="10">
    <mergeCell ref="G6:G7"/>
    <mergeCell ref="H6:H7"/>
    <mergeCell ref="I6:I7"/>
    <mergeCell ref="J6:J7"/>
    <mergeCell ref="D2:J2"/>
    <mergeCell ref="D3:J3"/>
    <mergeCell ref="C4:D7"/>
    <mergeCell ref="E4:F4"/>
    <mergeCell ref="G4:I4"/>
    <mergeCell ref="G5:I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6.57421875" style="1" customWidth="1"/>
    <col min="4" max="4" width="27.28125" style="37" customWidth="1"/>
    <col min="5" max="6" width="17.7109375" style="37" customWidth="1"/>
    <col min="7" max="9" width="9.7109375" style="37" customWidth="1"/>
    <col min="10" max="10" width="16.28125" style="37" customWidth="1"/>
    <col min="11" max="11" width="6.7109375" style="1" customWidth="1"/>
    <col min="12" max="12" width="2.7109375" style="1" customWidth="1"/>
    <col min="13" max="16384" width="9.140625" style="1" customWidth="1"/>
  </cols>
  <sheetData>
    <row r="1" spans="1:12" ht="15">
      <c r="A1" s="605"/>
      <c r="B1" s="605"/>
      <c r="C1" s="605"/>
      <c r="D1" s="606"/>
      <c r="E1" s="606"/>
      <c r="F1" s="606"/>
      <c r="G1" s="606"/>
      <c r="H1" s="606"/>
      <c r="I1" s="606"/>
      <c r="J1" s="606"/>
      <c r="K1" s="605"/>
      <c r="L1" s="605"/>
    </row>
    <row r="2" spans="1:21" ht="13.5" customHeight="1">
      <c r="A2" s="605"/>
      <c r="B2" s="229"/>
      <c r="C2" s="229"/>
      <c r="D2" s="1015" t="s">
        <v>166</v>
      </c>
      <c r="E2" s="1015"/>
      <c r="F2" s="1015"/>
      <c r="G2" s="1015"/>
      <c r="H2" s="1015"/>
      <c r="I2" s="1015"/>
      <c r="J2" s="1015"/>
      <c r="K2" s="208"/>
      <c r="L2" s="70"/>
      <c r="M2"/>
      <c r="N2"/>
      <c r="O2"/>
      <c r="P2"/>
      <c r="Q2"/>
      <c r="R2"/>
      <c r="S2"/>
      <c r="T2"/>
      <c r="U2"/>
    </row>
    <row r="3" spans="1:21" ht="13.5" customHeight="1" thickBot="1">
      <c r="A3" s="605"/>
      <c r="B3" s="229"/>
      <c r="C3" s="607"/>
      <c r="D3" s="1016" t="s">
        <v>433</v>
      </c>
      <c r="E3" s="1016"/>
      <c r="F3" s="1016"/>
      <c r="G3" s="1016"/>
      <c r="H3" s="1016"/>
      <c r="I3" s="1016"/>
      <c r="J3" s="1016"/>
      <c r="K3" s="208"/>
      <c r="L3" s="70"/>
      <c r="M3"/>
      <c r="N3"/>
      <c r="O3"/>
      <c r="P3"/>
      <c r="Q3"/>
      <c r="R3"/>
      <c r="S3"/>
      <c r="T3"/>
      <c r="U3"/>
    </row>
    <row r="4" spans="1:21" ht="13.5" customHeight="1">
      <c r="A4" s="605"/>
      <c r="B4" s="229"/>
      <c r="C4" s="1011" t="s">
        <v>168</v>
      </c>
      <c r="D4" s="1012"/>
      <c r="E4" s="1017" t="s">
        <v>167</v>
      </c>
      <c r="F4" s="1017"/>
      <c r="G4" s="1018" t="s">
        <v>22</v>
      </c>
      <c r="H4" s="1011"/>
      <c r="I4" s="1012"/>
      <c r="J4" s="517"/>
      <c r="K4" s="208"/>
      <c r="L4" s="70"/>
      <c r="M4"/>
      <c r="N4"/>
      <c r="O4"/>
      <c r="P4"/>
      <c r="Q4"/>
      <c r="R4"/>
      <c r="S4"/>
      <c r="T4"/>
      <c r="U4"/>
    </row>
    <row r="5" spans="1:21" ht="13.5" customHeight="1">
      <c r="A5" s="605"/>
      <c r="B5" s="229"/>
      <c r="C5" s="1011"/>
      <c r="D5" s="1012"/>
      <c r="E5" s="518" t="s">
        <v>169</v>
      </c>
      <c r="F5" s="518" t="s">
        <v>170</v>
      </c>
      <c r="G5" s="1019" t="s">
        <v>171</v>
      </c>
      <c r="H5" s="1020"/>
      <c r="I5" s="1021"/>
      <c r="J5" s="231" t="s">
        <v>172</v>
      </c>
      <c r="K5" s="208"/>
      <c r="L5" s="70"/>
      <c r="M5"/>
      <c r="N5"/>
      <c r="O5"/>
      <c r="P5"/>
      <c r="Q5"/>
      <c r="R5"/>
      <c r="S5"/>
      <c r="T5"/>
      <c r="U5"/>
    </row>
    <row r="6" spans="1:21" ht="13.5" customHeight="1">
      <c r="A6" s="605"/>
      <c r="B6" s="229"/>
      <c r="C6" s="1011"/>
      <c r="D6" s="1012"/>
      <c r="E6" s="518" t="s">
        <v>21</v>
      </c>
      <c r="F6" s="518" t="s">
        <v>21</v>
      </c>
      <c r="G6" s="1022" t="s">
        <v>52</v>
      </c>
      <c r="H6" s="1024" t="s">
        <v>53</v>
      </c>
      <c r="I6" s="1024" t="s">
        <v>120</v>
      </c>
      <c r="J6" s="1011" t="s">
        <v>173</v>
      </c>
      <c r="K6" s="208"/>
      <c r="L6" s="70"/>
      <c r="M6"/>
      <c r="N6"/>
      <c r="O6"/>
      <c r="P6"/>
      <c r="Q6"/>
      <c r="R6"/>
      <c r="S6"/>
      <c r="T6"/>
      <c r="U6"/>
    </row>
    <row r="7" spans="1:21" ht="13.5" customHeight="1" thickBot="1">
      <c r="A7" s="605"/>
      <c r="B7" s="229"/>
      <c r="C7" s="1013"/>
      <c r="D7" s="1014"/>
      <c r="E7" s="374" t="s">
        <v>174</v>
      </c>
      <c r="F7" s="374" t="s">
        <v>174</v>
      </c>
      <c r="G7" s="1023"/>
      <c r="H7" s="1025"/>
      <c r="I7" s="1025"/>
      <c r="J7" s="1013"/>
      <c r="K7" s="208"/>
      <c r="L7" s="70"/>
      <c r="M7"/>
      <c r="N7"/>
      <c r="O7"/>
      <c r="P7"/>
      <c r="Q7"/>
      <c r="R7"/>
      <c r="S7"/>
      <c r="T7"/>
      <c r="U7"/>
    </row>
    <row r="8" spans="1:21" ht="13.5" customHeight="1">
      <c r="A8" s="605"/>
      <c r="B8" s="229"/>
      <c r="C8" s="582" t="s">
        <v>293</v>
      </c>
      <c r="D8" s="587"/>
      <c r="E8" s="604">
        <f>SUM(E9:E10)</f>
        <v>5854</v>
      </c>
      <c r="F8" s="604">
        <f>SUM(F9:F10)</f>
        <v>135916</v>
      </c>
      <c r="G8" s="604">
        <f>SUM(G9:G10)</f>
        <v>0</v>
      </c>
      <c r="H8" s="604">
        <f>SUM(H9:H10)</f>
        <v>1534</v>
      </c>
      <c r="I8" s="604">
        <f>SUM(I9:I10)</f>
        <v>1534</v>
      </c>
      <c r="J8" s="375">
        <f aca="true" t="shared" si="0" ref="J8:J33">(I8/F8)*1000</f>
        <v>11.28638276582595</v>
      </c>
      <c r="K8" s="208"/>
      <c r="L8" s="70"/>
      <c r="M8"/>
      <c r="N8"/>
      <c r="O8"/>
      <c r="P8"/>
      <c r="Q8"/>
      <c r="R8"/>
      <c r="S8"/>
      <c r="T8"/>
      <c r="U8"/>
    </row>
    <row r="9" spans="1:21" ht="13.5" customHeight="1">
      <c r="A9" s="605"/>
      <c r="B9" s="229"/>
      <c r="C9" s="583" t="s">
        <v>4</v>
      </c>
      <c r="D9" s="600"/>
      <c r="E9" s="537">
        <v>5714</v>
      </c>
      <c r="F9" s="538">
        <v>125667</v>
      </c>
      <c r="G9" s="539">
        <v>0</v>
      </c>
      <c r="H9" s="540">
        <v>1367</v>
      </c>
      <c r="I9" s="541">
        <f>H9+G9</f>
        <v>1367</v>
      </c>
      <c r="J9" s="542">
        <f t="shared" si="0"/>
        <v>10.877955230887983</v>
      </c>
      <c r="K9" s="208"/>
      <c r="L9" s="70"/>
      <c r="M9"/>
      <c r="N9"/>
      <c r="O9"/>
      <c r="P9"/>
      <c r="Q9"/>
      <c r="R9"/>
      <c r="S9"/>
      <c r="T9"/>
      <c r="U9"/>
    </row>
    <row r="10" spans="1:21" ht="13.5" customHeight="1">
      <c r="A10" s="605"/>
      <c r="B10" s="229"/>
      <c r="C10" s="584" t="s">
        <v>5</v>
      </c>
      <c r="D10" s="587"/>
      <c r="E10" s="543">
        <v>140</v>
      </c>
      <c r="F10" s="544">
        <v>10249</v>
      </c>
      <c r="G10" s="545">
        <v>0</v>
      </c>
      <c r="H10" s="546">
        <v>167</v>
      </c>
      <c r="I10" s="547">
        <f>H10+G10</f>
        <v>167</v>
      </c>
      <c r="J10" s="548">
        <f t="shared" si="0"/>
        <v>16.294272611962143</v>
      </c>
      <c r="K10" s="208"/>
      <c r="L10" s="70"/>
      <c r="M10"/>
      <c r="N10"/>
      <c r="O10"/>
      <c r="P10"/>
      <c r="Q10"/>
      <c r="R10"/>
      <c r="S10"/>
      <c r="T10"/>
      <c r="U10"/>
    </row>
    <row r="11" spans="1:21" ht="13.5" customHeight="1">
      <c r="A11" s="605"/>
      <c r="B11" s="229"/>
      <c r="C11" s="535" t="s">
        <v>423</v>
      </c>
      <c r="D11" s="586"/>
      <c r="E11" s="536">
        <f>E12</f>
        <v>8330</v>
      </c>
      <c r="F11" s="536">
        <f>F12</f>
        <v>138213</v>
      </c>
      <c r="G11" s="536">
        <f>G12</f>
        <v>1336.5</v>
      </c>
      <c r="H11" s="536">
        <f>H12</f>
        <v>813.1</v>
      </c>
      <c r="I11" s="536">
        <f>I12</f>
        <v>2149.6</v>
      </c>
      <c r="J11" s="376">
        <f t="shared" si="0"/>
        <v>15.552806175974764</v>
      </c>
      <c r="K11" s="208"/>
      <c r="L11" s="70"/>
      <c r="M11"/>
      <c r="N11"/>
      <c r="O11"/>
      <c r="P11"/>
      <c r="Q11"/>
      <c r="R11"/>
      <c r="S11"/>
      <c r="T11"/>
      <c r="U11"/>
    </row>
    <row r="12" spans="1:21" ht="13.5" customHeight="1">
      <c r="A12" s="605"/>
      <c r="B12" s="229"/>
      <c r="C12" s="585" t="s">
        <v>6</v>
      </c>
      <c r="E12" s="537">
        <f>SUM(E13:E15)</f>
        <v>8330</v>
      </c>
      <c r="F12" s="537">
        <f>SUM(F13:F15)</f>
        <v>138213</v>
      </c>
      <c r="G12" s="537">
        <f>SUM(G13:G15)</f>
        <v>1336.5</v>
      </c>
      <c r="H12" s="537">
        <f>SUM(H13:H15)</f>
        <v>813.1</v>
      </c>
      <c r="I12" s="537">
        <f>SUM(I13:I15)</f>
        <v>2149.6</v>
      </c>
      <c r="J12" s="542">
        <f t="shared" si="0"/>
        <v>15.552806175974764</v>
      </c>
      <c r="K12" s="208"/>
      <c r="L12" s="70"/>
      <c r="M12"/>
      <c r="N12"/>
      <c r="O12"/>
      <c r="P12"/>
      <c r="Q12"/>
      <c r="R12"/>
      <c r="S12"/>
      <c r="T12"/>
      <c r="U12"/>
    </row>
    <row r="13" spans="1:21" ht="13.5" customHeight="1">
      <c r="A13" s="605"/>
      <c r="B13" s="229"/>
      <c r="C13" s="598"/>
      <c r="D13" s="578" t="s">
        <v>237</v>
      </c>
      <c r="E13" s="549">
        <v>2183</v>
      </c>
      <c r="F13" s="550">
        <v>12918</v>
      </c>
      <c r="G13" s="551">
        <v>527.7</v>
      </c>
      <c r="H13" s="552">
        <v>0</v>
      </c>
      <c r="I13" s="553">
        <f>H13+G13</f>
        <v>527.7</v>
      </c>
      <c r="J13" s="554">
        <f t="shared" si="0"/>
        <v>40.84997677659081</v>
      </c>
      <c r="K13" s="208"/>
      <c r="L13" s="70"/>
      <c r="M13"/>
      <c r="N13"/>
      <c r="O13"/>
      <c r="P13"/>
      <c r="Q13"/>
      <c r="R13"/>
      <c r="S13"/>
      <c r="T13"/>
      <c r="U13"/>
    </row>
    <row r="14" spans="1:21" ht="13.5" customHeight="1">
      <c r="A14" s="605"/>
      <c r="B14" s="229"/>
      <c r="C14" s="599"/>
      <c r="D14" s="578" t="s">
        <v>238</v>
      </c>
      <c r="E14" s="549">
        <v>2265</v>
      </c>
      <c r="F14" s="550">
        <v>100861</v>
      </c>
      <c r="G14" s="551">
        <v>808.8</v>
      </c>
      <c r="H14" s="552">
        <v>0</v>
      </c>
      <c r="I14" s="555">
        <f>H14+G14</f>
        <v>808.8</v>
      </c>
      <c r="J14" s="556">
        <f t="shared" si="0"/>
        <v>8.018956782106066</v>
      </c>
      <c r="K14" s="208"/>
      <c r="L14" s="70"/>
      <c r="M14"/>
      <c r="N14"/>
      <c r="O14"/>
      <c r="P14"/>
      <c r="Q14"/>
      <c r="R14"/>
      <c r="S14"/>
      <c r="T14"/>
      <c r="U14"/>
    </row>
    <row r="15" spans="1:21" ht="13.5" customHeight="1">
      <c r="A15" s="605"/>
      <c r="B15" s="229"/>
      <c r="D15" s="588" t="s">
        <v>239</v>
      </c>
      <c r="E15" s="543">
        <v>3882</v>
      </c>
      <c r="F15" s="544">
        <v>24434</v>
      </c>
      <c r="G15" s="545">
        <v>0</v>
      </c>
      <c r="H15" s="557">
        <v>813.1</v>
      </c>
      <c r="I15" s="547">
        <f>H15+G15</f>
        <v>813.1</v>
      </c>
      <c r="J15" s="548">
        <f t="shared" si="0"/>
        <v>33.27740034378325</v>
      </c>
      <c r="K15" s="208"/>
      <c r="L15" s="70"/>
      <c r="M15"/>
      <c r="N15"/>
      <c r="O15"/>
      <c r="P15"/>
      <c r="Q15"/>
      <c r="R15"/>
      <c r="S15"/>
      <c r="T15"/>
      <c r="U15"/>
    </row>
    <row r="16" spans="1:21" ht="13.5" customHeight="1">
      <c r="A16" s="605"/>
      <c r="B16" s="229"/>
      <c r="C16" s="535" t="s">
        <v>424</v>
      </c>
      <c r="D16" s="586"/>
      <c r="E16" s="536">
        <f>SUM(E17:E18)</f>
        <v>3454</v>
      </c>
      <c r="F16" s="536">
        <f>SUM(F17:F18)</f>
        <v>27348</v>
      </c>
      <c r="G16" s="536">
        <f>SUM(G17:G18)</f>
        <v>249.9</v>
      </c>
      <c r="H16" s="536">
        <f>SUM(H17:H18)</f>
        <v>121.6</v>
      </c>
      <c r="I16" s="536">
        <f>SUM(I17:I18)</f>
        <v>371.5</v>
      </c>
      <c r="J16" s="376">
        <f t="shared" si="0"/>
        <v>13.584174345473162</v>
      </c>
      <c r="K16" s="208"/>
      <c r="L16" s="70"/>
      <c r="M16"/>
      <c r="N16"/>
      <c r="O16"/>
      <c r="P16"/>
      <c r="Q16"/>
      <c r="R16"/>
      <c r="S16"/>
      <c r="T16"/>
      <c r="U16"/>
    </row>
    <row r="17" spans="1:21" ht="13.5" customHeight="1">
      <c r="A17" s="605"/>
      <c r="B17" s="229"/>
      <c r="C17" s="585" t="s">
        <v>10</v>
      </c>
      <c r="D17" s="600"/>
      <c r="E17" s="537">
        <v>1747</v>
      </c>
      <c r="F17" s="538">
        <v>21028</v>
      </c>
      <c r="G17" s="539">
        <v>2.5</v>
      </c>
      <c r="H17" s="558">
        <v>121.6</v>
      </c>
      <c r="I17" s="541">
        <f>H17+G17</f>
        <v>124.1</v>
      </c>
      <c r="J17" s="542">
        <f t="shared" si="0"/>
        <v>5.901654936275442</v>
      </c>
      <c r="K17" s="208"/>
      <c r="L17" s="70"/>
      <c r="M17"/>
      <c r="N17"/>
      <c r="O17"/>
      <c r="P17"/>
      <c r="Q17"/>
      <c r="R17"/>
      <c r="S17"/>
      <c r="T17"/>
      <c r="U17"/>
    </row>
    <row r="18" spans="1:21" ht="13.5" customHeight="1">
      <c r="A18" s="605"/>
      <c r="B18" s="229"/>
      <c r="C18" s="584" t="s">
        <v>11</v>
      </c>
      <c r="D18" s="587"/>
      <c r="E18" s="543">
        <v>1707</v>
      </c>
      <c r="F18" s="544">
        <v>6320</v>
      </c>
      <c r="G18" s="545">
        <v>247.4</v>
      </c>
      <c r="H18" s="557">
        <v>0</v>
      </c>
      <c r="I18" s="547">
        <f>H18+G18</f>
        <v>247.4</v>
      </c>
      <c r="J18" s="548">
        <f t="shared" si="0"/>
        <v>39.14556962025317</v>
      </c>
      <c r="K18" s="208"/>
      <c r="L18" s="70"/>
      <c r="M18"/>
      <c r="N18"/>
      <c r="O18"/>
      <c r="P18"/>
      <c r="Q18"/>
      <c r="R18"/>
      <c r="S18"/>
      <c r="T18"/>
      <c r="U18"/>
    </row>
    <row r="19" spans="1:21" ht="13.5" customHeight="1">
      <c r="A19" s="605"/>
      <c r="B19" s="229"/>
      <c r="C19" s="535" t="s">
        <v>425</v>
      </c>
      <c r="D19" s="586"/>
      <c r="E19" s="536">
        <f>E20+E25+E26+E27</f>
        <v>244445</v>
      </c>
      <c r="F19" s="536">
        <f>F20+F25+F26+F27</f>
        <v>1666915</v>
      </c>
      <c r="G19" s="536">
        <f>G20+G25+G26+G27</f>
        <v>35051.8</v>
      </c>
      <c r="H19" s="536">
        <f>H20+H25+H26+H27</f>
        <v>10013</v>
      </c>
      <c r="I19" s="536">
        <f>I20+I25+I26+I27</f>
        <v>45064.799999999996</v>
      </c>
      <c r="J19" s="376">
        <f t="shared" si="0"/>
        <v>27.03485180708074</v>
      </c>
      <c r="K19" s="208"/>
      <c r="L19" s="70"/>
      <c r="M19"/>
      <c r="N19"/>
      <c r="O19"/>
      <c r="P19"/>
      <c r="Q19"/>
      <c r="R19"/>
      <c r="S19"/>
      <c r="T19"/>
      <c r="U19"/>
    </row>
    <row r="20" spans="1:21" ht="13.5" customHeight="1">
      <c r="A20" s="605"/>
      <c r="B20" s="229"/>
      <c r="C20" s="589" t="s">
        <v>8</v>
      </c>
      <c r="D20" s="600"/>
      <c r="E20" s="590">
        <f>SUM(E21:E24)</f>
        <v>185555</v>
      </c>
      <c r="F20" s="537">
        <f>SUM(F21:F24)</f>
        <v>1028425</v>
      </c>
      <c r="G20" s="537">
        <f>SUM(G21:G24)</f>
        <v>26644</v>
      </c>
      <c r="H20" s="537">
        <f>SUM(H21:H24)</f>
        <v>300</v>
      </c>
      <c r="I20" s="537">
        <f>SUM(I21:I24)</f>
        <v>26944</v>
      </c>
      <c r="J20" s="542">
        <f t="shared" si="0"/>
        <v>26.199285314923305</v>
      </c>
      <c r="K20" s="208"/>
      <c r="L20" s="70"/>
      <c r="M20"/>
      <c r="N20"/>
      <c r="O20"/>
      <c r="P20"/>
      <c r="Q20"/>
      <c r="R20"/>
      <c r="S20"/>
      <c r="T20"/>
      <c r="U20"/>
    </row>
    <row r="21" spans="1:21" ht="13.5" customHeight="1">
      <c r="A21" s="605"/>
      <c r="B21" s="229"/>
      <c r="C21" s="598"/>
      <c r="D21" s="591" t="s">
        <v>175</v>
      </c>
      <c r="E21" s="549">
        <v>102700</v>
      </c>
      <c r="F21" s="550">
        <v>518082</v>
      </c>
      <c r="G21" s="551">
        <v>13792</v>
      </c>
      <c r="H21" s="560">
        <v>0</v>
      </c>
      <c r="I21" s="555">
        <f aca="true" t="shared" si="1" ref="I21:I27">H21+G21</f>
        <v>13792</v>
      </c>
      <c r="J21" s="556">
        <f t="shared" si="0"/>
        <v>26.621268447851882</v>
      </c>
      <c r="K21" s="208"/>
      <c r="L21" s="70"/>
      <c r="M21"/>
      <c r="N21"/>
      <c r="O21"/>
      <c r="P21"/>
      <c r="Q21"/>
      <c r="R21"/>
      <c r="S21"/>
      <c r="T21"/>
      <c r="U21"/>
    </row>
    <row r="22" spans="1:21" ht="13.5" customHeight="1">
      <c r="A22" s="605"/>
      <c r="B22" s="229"/>
      <c r="C22" s="599"/>
      <c r="D22" s="579" t="s">
        <v>176</v>
      </c>
      <c r="E22" s="549">
        <v>25650</v>
      </c>
      <c r="F22" s="550">
        <v>168463</v>
      </c>
      <c r="G22" s="551">
        <v>6231</v>
      </c>
      <c r="H22" s="560">
        <v>0</v>
      </c>
      <c r="I22" s="553">
        <f t="shared" si="1"/>
        <v>6231</v>
      </c>
      <c r="J22" s="554">
        <f t="shared" si="0"/>
        <v>36.98735033805642</v>
      </c>
      <c r="K22" s="208"/>
      <c r="L22" s="70"/>
      <c r="M22"/>
      <c r="N22"/>
      <c r="O22"/>
      <c r="P22"/>
      <c r="Q22"/>
      <c r="R22"/>
      <c r="S22"/>
      <c r="T22"/>
      <c r="U22"/>
    </row>
    <row r="23" spans="1:21" ht="13.5" customHeight="1">
      <c r="A23" s="605"/>
      <c r="B23" s="229"/>
      <c r="C23" s="599"/>
      <c r="D23" s="580" t="s">
        <v>429</v>
      </c>
      <c r="E23" s="549">
        <v>43680</v>
      </c>
      <c r="F23" s="550">
        <v>304013</v>
      </c>
      <c r="G23" s="551">
        <v>5942</v>
      </c>
      <c r="H23" s="558">
        <v>195</v>
      </c>
      <c r="I23" s="553">
        <f t="shared" si="1"/>
        <v>6137</v>
      </c>
      <c r="J23" s="554">
        <f t="shared" si="0"/>
        <v>20.186636755665052</v>
      </c>
      <c r="K23" s="208"/>
      <c r="L23" s="70"/>
      <c r="M23"/>
      <c r="N23"/>
      <c r="O23"/>
      <c r="P23"/>
      <c r="Q23"/>
      <c r="R23"/>
      <c r="S23"/>
      <c r="T23"/>
      <c r="U23"/>
    </row>
    <row r="24" spans="1:21" ht="13.5" customHeight="1">
      <c r="A24" s="605"/>
      <c r="B24" s="229"/>
      <c r="D24" s="597" t="s">
        <v>177</v>
      </c>
      <c r="E24" s="549">
        <v>13525</v>
      </c>
      <c r="F24" s="550">
        <v>37867</v>
      </c>
      <c r="G24" s="551">
        <v>679</v>
      </c>
      <c r="H24" s="558">
        <v>105</v>
      </c>
      <c r="I24" s="561">
        <f t="shared" si="1"/>
        <v>784</v>
      </c>
      <c r="J24" s="554">
        <f t="shared" si="0"/>
        <v>20.704043098212164</v>
      </c>
      <c r="K24" s="208"/>
      <c r="L24" s="70"/>
      <c r="M24"/>
      <c r="N24"/>
      <c r="O24"/>
      <c r="P24"/>
      <c r="Q24"/>
      <c r="R24"/>
      <c r="S24"/>
      <c r="T24"/>
      <c r="U24"/>
    </row>
    <row r="25" spans="1:21" ht="13.5" customHeight="1">
      <c r="A25" s="605"/>
      <c r="B25" s="229"/>
      <c r="C25" s="589" t="s">
        <v>33</v>
      </c>
      <c r="D25" s="601"/>
      <c r="E25" s="595">
        <v>41358</v>
      </c>
      <c r="F25" s="550">
        <v>450128</v>
      </c>
      <c r="G25" s="551">
        <v>2789</v>
      </c>
      <c r="H25" s="552">
        <v>9713</v>
      </c>
      <c r="I25" s="561">
        <f t="shared" si="1"/>
        <v>12502</v>
      </c>
      <c r="J25" s="554">
        <f t="shared" si="0"/>
        <v>27.774321970639463</v>
      </c>
      <c r="K25" s="208"/>
      <c r="L25" s="70"/>
      <c r="M25"/>
      <c r="N25"/>
      <c r="O25"/>
      <c r="P25"/>
      <c r="Q25"/>
      <c r="R25"/>
      <c r="S25"/>
      <c r="T25"/>
      <c r="U25"/>
    </row>
    <row r="26" spans="1:21" ht="13.5" customHeight="1">
      <c r="A26" s="605"/>
      <c r="B26" s="229"/>
      <c r="C26" s="589" t="s">
        <v>34</v>
      </c>
      <c r="D26" s="601"/>
      <c r="E26" s="595">
        <v>7</v>
      </c>
      <c r="F26" s="550">
        <v>13225</v>
      </c>
      <c r="G26" s="551">
        <v>262.2</v>
      </c>
      <c r="H26" s="562">
        <v>0</v>
      </c>
      <c r="I26" s="561">
        <f t="shared" si="1"/>
        <v>262.2</v>
      </c>
      <c r="J26" s="554">
        <f t="shared" si="0"/>
        <v>19.82608695652174</v>
      </c>
      <c r="K26" s="208"/>
      <c r="L26" s="71"/>
      <c r="M26"/>
      <c r="N26"/>
      <c r="O26"/>
      <c r="P26"/>
      <c r="Q26"/>
      <c r="R26"/>
      <c r="S26"/>
      <c r="T26"/>
      <c r="U26"/>
    </row>
    <row r="27" spans="1:21" ht="13.5" customHeight="1">
      <c r="A27" s="605"/>
      <c r="B27" s="229"/>
      <c r="C27" s="589" t="s">
        <v>9</v>
      </c>
      <c r="D27" s="587"/>
      <c r="E27" s="596">
        <v>17525</v>
      </c>
      <c r="F27" s="563">
        <v>175137</v>
      </c>
      <c r="G27" s="545">
        <v>5356.6</v>
      </c>
      <c r="H27" s="559">
        <v>0</v>
      </c>
      <c r="I27" s="547">
        <f t="shared" si="1"/>
        <v>5356.6</v>
      </c>
      <c r="J27" s="548">
        <f t="shared" si="0"/>
        <v>30.585199015627765</v>
      </c>
      <c r="K27" s="208"/>
      <c r="L27" s="71"/>
      <c r="M27"/>
      <c r="N27"/>
      <c r="O27"/>
      <c r="P27"/>
      <c r="Q27"/>
      <c r="R27"/>
      <c r="S27"/>
      <c r="T27"/>
      <c r="U27"/>
    </row>
    <row r="28" spans="1:21" ht="13.5" customHeight="1">
      <c r="A28" s="605"/>
      <c r="B28" s="229"/>
      <c r="C28" s="535" t="s">
        <v>290</v>
      </c>
      <c r="D28" s="582"/>
      <c r="E28" s="536">
        <f>E29</f>
        <v>16873</v>
      </c>
      <c r="F28" s="536">
        <f>F29</f>
        <v>67177</v>
      </c>
      <c r="G28" s="536">
        <f>G29</f>
        <v>1580</v>
      </c>
      <c r="H28" s="536">
        <f>H29</f>
        <v>0</v>
      </c>
      <c r="I28" s="536">
        <f>I29</f>
        <v>1580</v>
      </c>
      <c r="J28" s="376">
        <f t="shared" si="0"/>
        <v>23.519954746416186</v>
      </c>
      <c r="K28" s="208"/>
      <c r="L28" s="70"/>
      <c r="M28"/>
      <c r="N28"/>
      <c r="O28"/>
      <c r="P28"/>
      <c r="Q28"/>
      <c r="R28"/>
      <c r="S28"/>
      <c r="T28"/>
      <c r="U28"/>
    </row>
    <row r="29" spans="1:21" ht="13.5" customHeight="1" thickBot="1">
      <c r="A29" s="605"/>
      <c r="B29" s="229"/>
      <c r="C29" s="592" t="s">
        <v>7</v>
      </c>
      <c r="D29" s="593"/>
      <c r="E29" s="564">
        <v>16873</v>
      </c>
      <c r="F29" s="565">
        <v>67177</v>
      </c>
      <c r="G29" s="566">
        <v>1580</v>
      </c>
      <c r="H29" s="567">
        <v>0</v>
      </c>
      <c r="I29" s="568">
        <f>H29+G29</f>
        <v>1580</v>
      </c>
      <c r="J29" s="569">
        <f t="shared" si="0"/>
        <v>23.519954746416186</v>
      </c>
      <c r="K29" s="208"/>
      <c r="L29" s="70"/>
      <c r="M29"/>
      <c r="N29"/>
      <c r="O29"/>
      <c r="P29"/>
      <c r="Q29"/>
      <c r="R29"/>
      <c r="S29"/>
      <c r="T29"/>
      <c r="U29"/>
    </row>
    <row r="30" spans="1:21" ht="13.5" customHeight="1" thickBot="1">
      <c r="A30" s="605"/>
      <c r="B30" s="229"/>
      <c r="C30" s="581" t="s">
        <v>16</v>
      </c>
      <c r="D30" s="594"/>
      <c r="E30" s="571">
        <v>663</v>
      </c>
      <c r="F30" s="572">
        <v>14169</v>
      </c>
      <c r="G30" s="573">
        <v>125.8</v>
      </c>
      <c r="H30" s="574">
        <v>0.7</v>
      </c>
      <c r="I30" s="575">
        <v>126.5</v>
      </c>
      <c r="J30" s="576">
        <f t="shared" si="0"/>
        <v>8.927941280259722</v>
      </c>
      <c r="K30" s="208"/>
      <c r="L30" s="70"/>
      <c r="M30"/>
      <c r="N30"/>
      <c r="O30"/>
      <c r="P30"/>
      <c r="Q30"/>
      <c r="R30"/>
      <c r="S30"/>
      <c r="T30"/>
      <c r="U30"/>
    </row>
    <row r="31" spans="1:21" ht="13.5" customHeight="1" thickBot="1">
      <c r="A31" s="605"/>
      <c r="B31" s="229"/>
      <c r="C31" s="570" t="s">
        <v>426</v>
      </c>
      <c r="D31" s="594"/>
      <c r="E31" s="571">
        <f>E8+E11</f>
        <v>14184</v>
      </c>
      <c r="F31" s="571">
        <f>F8+F11</f>
        <v>274129</v>
      </c>
      <c r="G31" s="573">
        <f>G8+G11</f>
        <v>1336.5</v>
      </c>
      <c r="H31" s="573">
        <f>H8+H11</f>
        <v>2347.1</v>
      </c>
      <c r="I31" s="573">
        <f>I8+I11</f>
        <v>3683.6</v>
      </c>
      <c r="J31" s="230">
        <f t="shared" si="0"/>
        <v>13.437469220695366</v>
      </c>
      <c r="K31" s="208"/>
      <c r="L31" s="70"/>
      <c r="M31"/>
      <c r="N31"/>
      <c r="O31"/>
      <c r="P31"/>
      <c r="Q31"/>
      <c r="R31"/>
      <c r="S31"/>
      <c r="T31"/>
      <c r="U31"/>
    </row>
    <row r="32" spans="1:21" ht="13.5" customHeight="1" thickBot="1">
      <c r="A32" s="605"/>
      <c r="B32" s="229"/>
      <c r="C32" s="581" t="s">
        <v>427</v>
      </c>
      <c r="E32" s="577">
        <f>E16+E19+E28</f>
        <v>264772</v>
      </c>
      <c r="F32" s="577">
        <f>F16+F19+F28</f>
        <v>1761440</v>
      </c>
      <c r="G32" s="602">
        <f>G16+G19+G28</f>
        <v>36881.700000000004</v>
      </c>
      <c r="H32" s="602">
        <f>H16+H19+H28</f>
        <v>10134.6</v>
      </c>
      <c r="I32" s="602">
        <f>I16+I19+I28</f>
        <v>47016.299999999996</v>
      </c>
      <c r="J32" s="603">
        <f t="shared" si="0"/>
        <v>26.69196793532564</v>
      </c>
      <c r="K32" s="208"/>
      <c r="L32" s="70"/>
      <c r="M32"/>
      <c r="N32"/>
      <c r="O32"/>
      <c r="P32"/>
      <c r="Q32"/>
      <c r="R32"/>
      <c r="S32"/>
      <c r="T32"/>
      <c r="U32"/>
    </row>
    <row r="33" spans="1:21" ht="15" customHeight="1" thickBot="1">
      <c r="A33" s="605"/>
      <c r="B33" s="229"/>
      <c r="C33" s="610" t="s">
        <v>12</v>
      </c>
      <c r="D33" s="611"/>
      <c r="E33" s="612">
        <f>E30+E31+E32</f>
        <v>279619</v>
      </c>
      <c r="F33" s="612">
        <f>F30+F31+F32</f>
        <v>2049738</v>
      </c>
      <c r="G33" s="612">
        <f>G30+G31+G32</f>
        <v>38344.00000000001</v>
      </c>
      <c r="H33" s="612">
        <f>H30+H31+H32</f>
        <v>12482.4</v>
      </c>
      <c r="I33" s="613">
        <f>I30+I31+I32</f>
        <v>50826.399999999994</v>
      </c>
      <c r="J33" s="614">
        <f t="shared" si="0"/>
        <v>24.796534971786635</v>
      </c>
      <c r="K33" s="208"/>
      <c r="L33" s="70"/>
      <c r="M33"/>
      <c r="N33"/>
      <c r="O33"/>
      <c r="P33"/>
      <c r="Q33"/>
      <c r="R33"/>
      <c r="S33"/>
      <c r="T33"/>
      <c r="U33"/>
    </row>
    <row r="34" spans="1:21" ht="15" customHeight="1">
      <c r="A34" s="605"/>
      <c r="B34" s="229"/>
      <c r="C34" s="210" t="s">
        <v>428</v>
      </c>
      <c r="D34" s="608"/>
      <c r="E34" s="608"/>
      <c r="F34" s="608"/>
      <c r="G34" s="608"/>
      <c r="H34" s="608"/>
      <c r="I34" s="609"/>
      <c r="J34" s="608"/>
      <c r="K34" s="208"/>
      <c r="L34" s="70"/>
      <c r="M34"/>
      <c r="N34"/>
      <c r="O34"/>
      <c r="P34"/>
      <c r="Q34"/>
      <c r="R34"/>
      <c r="S34"/>
      <c r="T34"/>
      <c r="U34"/>
    </row>
    <row r="35" spans="1:21" ht="15">
      <c r="A35" s="605"/>
      <c r="B35" s="605"/>
      <c r="C35" s="605"/>
      <c r="D35" s="70"/>
      <c r="E35" s="70"/>
      <c r="F35" s="70"/>
      <c r="G35" s="70"/>
      <c r="H35" s="70"/>
      <c r="I35" s="70"/>
      <c r="J35" s="70"/>
      <c r="K35" s="70"/>
      <c r="L35" s="70"/>
      <c r="M35"/>
      <c r="N35"/>
      <c r="O35"/>
      <c r="P35"/>
      <c r="Q35"/>
      <c r="R35"/>
      <c r="S35"/>
      <c r="T35"/>
      <c r="U35"/>
    </row>
    <row r="36" spans="4:21" ht="15">
      <c r="D36"/>
      <c r="E36" s="4"/>
      <c r="F36" s="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4:21" ht="15">
      <c r="D37"/>
      <c r="E37"/>
      <c r="F37" s="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4:21" ht="1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4:16" ht="15">
      <c r="D39"/>
      <c r="E39"/>
      <c r="F39"/>
      <c r="G39"/>
      <c r="H39"/>
      <c r="I39" s="4"/>
      <c r="J39"/>
      <c r="K39"/>
      <c r="L39"/>
      <c r="M39"/>
      <c r="N39"/>
      <c r="O39"/>
      <c r="P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ht="15">
      <c r="D60"/>
      <c r="E60"/>
      <c r="F60"/>
      <c r="G60"/>
      <c r="H60"/>
      <c r="I60"/>
      <c r="J60"/>
      <c r="K60"/>
      <c r="L60"/>
      <c r="M60"/>
      <c r="N60"/>
      <c r="O60"/>
      <c r="P60"/>
    </row>
  </sheetData>
  <sheetProtection/>
  <mergeCells count="10">
    <mergeCell ref="G6:G7"/>
    <mergeCell ref="H6:H7"/>
    <mergeCell ref="I6:I7"/>
    <mergeCell ref="J6:J7"/>
    <mergeCell ref="D2:J2"/>
    <mergeCell ref="D3:J3"/>
    <mergeCell ref="C4:D7"/>
    <mergeCell ref="E4:F4"/>
    <mergeCell ref="G4:I4"/>
    <mergeCell ref="G5:I5"/>
  </mergeCells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17.28125" style="38" customWidth="1"/>
    <col min="2" max="2" width="12.140625" style="38" customWidth="1"/>
    <col min="3" max="3" width="9.28125" style="38" customWidth="1"/>
    <col min="4" max="4" width="12.140625" style="38" customWidth="1"/>
    <col min="5" max="5" width="9.7109375" style="38" customWidth="1"/>
    <col min="6" max="6" width="12.140625" style="38" customWidth="1"/>
    <col min="7" max="7" width="9.57421875" style="38" customWidth="1"/>
    <col min="8" max="8" width="12.140625" style="38" customWidth="1"/>
    <col min="9" max="9" width="9.57421875" style="38" customWidth="1"/>
    <col min="10" max="10" width="12.140625" style="38" customWidth="1"/>
    <col min="11" max="11" width="10.57421875" style="38" customWidth="1"/>
    <col min="12" max="12" width="15.140625" style="38" bestFit="1" customWidth="1"/>
    <col min="13" max="16384" width="9.140625" style="38" customWidth="1"/>
  </cols>
  <sheetData>
    <row r="1" spans="1:11" ht="15" customHeight="1">
      <c r="A1" s="1039" t="s">
        <v>178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</row>
    <row r="2" spans="1:11" ht="15" customHeight="1">
      <c r="A2" s="1040" t="s">
        <v>179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</row>
    <row r="3" spans="1:11" ht="15" customHeight="1">
      <c r="A3" s="1041" t="s">
        <v>47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</row>
    <row r="4" spans="1:11" ht="15" customHeight="1">
      <c r="A4" s="1042" t="s">
        <v>180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</row>
    <row r="5" spans="1:11" ht="1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0.25" customHeight="1">
      <c r="A6" s="1043" t="s">
        <v>181</v>
      </c>
      <c r="B6" s="1043"/>
      <c r="C6" s="1043"/>
      <c r="D6" s="1043"/>
      <c r="E6" s="1043"/>
      <c r="F6" s="1043"/>
      <c r="G6" s="1043"/>
      <c r="H6" s="1043"/>
      <c r="I6" s="1043"/>
      <c r="J6" s="1043"/>
      <c r="K6" s="1043"/>
    </row>
    <row r="7" spans="1:11" ht="15" customHeight="1">
      <c r="A7" s="1034" t="s">
        <v>182</v>
      </c>
      <c r="B7" s="1035" t="s">
        <v>223</v>
      </c>
      <c r="C7" s="1035"/>
      <c r="D7" s="1035" t="s">
        <v>184</v>
      </c>
      <c r="E7" s="1035"/>
      <c r="F7" s="1036" t="s">
        <v>185</v>
      </c>
      <c r="G7" s="1037"/>
      <c r="H7" s="1036" t="s">
        <v>35</v>
      </c>
      <c r="I7" s="1037"/>
      <c r="J7" s="1036" t="s">
        <v>186</v>
      </c>
      <c r="K7" s="1038"/>
    </row>
    <row r="8" spans="1:11" ht="15" customHeight="1">
      <c r="A8" s="1034"/>
      <c r="B8" s="40" t="s">
        <v>18</v>
      </c>
      <c r="C8" s="41" t="s">
        <v>187</v>
      </c>
      <c r="D8" s="40" t="s">
        <v>18</v>
      </c>
      <c r="E8" s="41" t="s">
        <v>187</v>
      </c>
      <c r="F8" s="40" t="s">
        <v>18</v>
      </c>
      <c r="G8" s="41" t="s">
        <v>187</v>
      </c>
      <c r="H8" s="40" t="s">
        <v>18</v>
      </c>
      <c r="I8" s="41" t="s">
        <v>187</v>
      </c>
      <c r="J8" s="40" t="s">
        <v>18</v>
      </c>
      <c r="K8" s="42" t="s">
        <v>187</v>
      </c>
    </row>
    <row r="9" spans="1:12" ht="15">
      <c r="A9" s="408" t="s">
        <v>188</v>
      </c>
      <c r="B9" s="43">
        <v>45346</v>
      </c>
      <c r="C9" s="44">
        <f>(B9/B26)*100</f>
        <v>31.967571378216427</v>
      </c>
      <c r="D9" s="43">
        <v>49152</v>
      </c>
      <c r="E9" s="44">
        <f>(D9/D26)*100</f>
        <v>33.49483798425841</v>
      </c>
      <c r="F9" s="43">
        <v>50826</v>
      </c>
      <c r="G9" s="44">
        <f>(F9/F26)*100</f>
        <v>34.44382700153156</v>
      </c>
      <c r="H9" s="43">
        <v>43484</v>
      </c>
      <c r="I9" s="44">
        <f>(H9/H26)*100</f>
        <v>31.837051463212845</v>
      </c>
      <c r="J9" s="43">
        <v>48095</v>
      </c>
      <c r="K9" s="45">
        <f>(J9/J26)*100</f>
        <v>35.99090031504666</v>
      </c>
      <c r="L9" s="46"/>
    </row>
    <row r="10" spans="1:11" ht="15">
      <c r="A10" s="409" t="s">
        <v>189</v>
      </c>
      <c r="B10" s="47">
        <v>27500</v>
      </c>
      <c r="C10" s="44">
        <f>(B10/B26)*100</f>
        <v>19.386676066267185</v>
      </c>
      <c r="D10" s="47">
        <v>27500</v>
      </c>
      <c r="E10" s="44">
        <f>(D10/D26)*100</f>
        <v>18.739991141095096</v>
      </c>
      <c r="F10" s="47">
        <v>25000</v>
      </c>
      <c r="G10" s="44">
        <f>(F10/F26)*100</f>
        <v>16.94203114623006</v>
      </c>
      <c r="H10" s="47">
        <v>26500</v>
      </c>
      <c r="I10" s="44">
        <f>(H10/H26)*100</f>
        <v>19.402121786752378</v>
      </c>
      <c r="J10" s="47">
        <v>20000</v>
      </c>
      <c r="K10" s="45">
        <f>(J10/J26)*100</f>
        <v>14.966587094311947</v>
      </c>
    </row>
    <row r="11" spans="1:12" ht="15">
      <c r="A11" s="410" t="s">
        <v>190</v>
      </c>
      <c r="B11" s="47">
        <v>12500</v>
      </c>
      <c r="C11" s="44">
        <f>(B11/B26)*100</f>
        <v>8.812125484666902</v>
      </c>
      <c r="D11" s="47">
        <v>12124</v>
      </c>
      <c r="E11" s="44">
        <f>(D11/D26)*100</f>
        <v>8.261951003441343</v>
      </c>
      <c r="F11" s="47">
        <v>9927</v>
      </c>
      <c r="G11" s="44">
        <f>(F11/F26)*100</f>
        <v>6.727341727545031</v>
      </c>
      <c r="H11" s="47">
        <v>7652</v>
      </c>
      <c r="I11" s="44">
        <f>(H11/H26)*100</f>
        <v>5.602454185367139</v>
      </c>
      <c r="J11" s="47">
        <v>8523</v>
      </c>
      <c r="K11" s="45">
        <f>(J11/J26)*100</f>
        <v>6.378011090241037</v>
      </c>
      <c r="L11" s="60"/>
    </row>
    <row r="12" spans="1:11" ht="15">
      <c r="A12" s="410" t="s">
        <v>191</v>
      </c>
      <c r="B12" s="47">
        <v>9000</v>
      </c>
      <c r="C12" s="44">
        <f>(B12/B26)*100</f>
        <v>6.3447303489601685</v>
      </c>
      <c r="D12" s="47">
        <v>11667</v>
      </c>
      <c r="E12" s="44">
        <f>(D12/D26)*100</f>
        <v>7.950526423387509</v>
      </c>
      <c r="F12" s="47">
        <v>13048</v>
      </c>
      <c r="G12" s="44">
        <f>(F12/F26)*100</f>
        <v>8.842384895840393</v>
      </c>
      <c r="H12" s="47">
        <v>7288</v>
      </c>
      <c r="I12" s="44">
        <f>(H12/H26)*100</f>
        <v>5.335949569126465</v>
      </c>
      <c r="J12" s="47">
        <v>9129</v>
      </c>
      <c r="K12" s="45">
        <f>(J12/J26)*100</f>
        <v>6.831498679198688</v>
      </c>
    </row>
    <row r="13" spans="1:11" ht="15">
      <c r="A13" s="410" t="s">
        <v>192</v>
      </c>
      <c r="B13" s="47">
        <v>6625</v>
      </c>
      <c r="C13" s="44">
        <f>(B13/B26)*100</f>
        <v>4.670426506873458</v>
      </c>
      <c r="D13" s="47">
        <v>6527</v>
      </c>
      <c r="E13" s="44">
        <f>(D13/D26)*100</f>
        <v>4.447851715561007</v>
      </c>
      <c r="F13" s="47">
        <v>6233</v>
      </c>
      <c r="G13" s="44">
        <f>(F13/F26)*100</f>
        <v>4.223987205378078</v>
      </c>
      <c r="H13" s="47">
        <v>6798</v>
      </c>
      <c r="I13" s="44">
        <f>(H13/H26)*100</f>
        <v>4.977193354956326</v>
      </c>
      <c r="J13" s="47">
        <v>7500</v>
      </c>
      <c r="K13" s="45">
        <f>(J13/J26)*100</f>
        <v>5.612470160366981</v>
      </c>
    </row>
    <row r="14" spans="1:11" ht="15">
      <c r="A14" s="410" t="s">
        <v>193</v>
      </c>
      <c r="B14" s="47">
        <v>5517</v>
      </c>
      <c r="C14" s="44">
        <f>(B14/B26)*100</f>
        <v>3.8893197039125837</v>
      </c>
      <c r="D14" s="47">
        <v>5075</v>
      </c>
      <c r="E14" s="44">
        <f>(D14/D26)*100</f>
        <v>3.4583801833111862</v>
      </c>
      <c r="F14" s="47">
        <v>4977</v>
      </c>
      <c r="G14" s="44">
        <f>(F14/F26)*100</f>
        <v>3.37281956059148</v>
      </c>
      <c r="H14" s="47">
        <v>4921</v>
      </c>
      <c r="I14" s="44">
        <f>(H14/H26)*100</f>
        <v>3.60293740802296</v>
      </c>
      <c r="J14" s="47">
        <v>4728</v>
      </c>
      <c r="K14" s="45">
        <f>(J14/J26)*100</f>
        <v>3.538101189095345</v>
      </c>
    </row>
    <row r="15" spans="1:11" ht="15">
      <c r="A15" s="410" t="s">
        <v>195</v>
      </c>
      <c r="B15" s="47">
        <v>5400</v>
      </c>
      <c r="C15" s="44">
        <f>(B15/B26)*100</f>
        <v>3.8068382093761017</v>
      </c>
      <c r="D15" s="47">
        <v>4568</v>
      </c>
      <c r="E15" s="44">
        <f>(D15/D26)*100</f>
        <v>3.112882892091724</v>
      </c>
      <c r="F15" s="47">
        <v>4537</v>
      </c>
      <c r="G15" s="44">
        <f>(F15/F26)*100</f>
        <v>3.074639812417831</v>
      </c>
      <c r="H15" s="47">
        <v>5903</v>
      </c>
      <c r="I15" s="44">
        <f>(H15/H26)*100</f>
        <v>4.321914147441483</v>
      </c>
      <c r="J15" s="47">
        <v>4331</v>
      </c>
      <c r="K15" s="45">
        <f>(J15/J26)*100</f>
        <v>3.2410144352732524</v>
      </c>
    </row>
    <row r="16" spans="1:11" ht="15">
      <c r="A16" s="410" t="s">
        <v>196</v>
      </c>
      <c r="B16" s="47">
        <v>3900</v>
      </c>
      <c r="C16" s="44">
        <f>(B16/B26)*100</f>
        <v>2.7493831512160734</v>
      </c>
      <c r="D16" s="47">
        <v>3916</v>
      </c>
      <c r="E16" s="44">
        <f>(D16/D26)*100</f>
        <v>2.668574738491942</v>
      </c>
      <c r="F16" s="47">
        <v>4327</v>
      </c>
      <c r="G16" s="44">
        <f>(F16/F26)*100</f>
        <v>2.932326750789499</v>
      </c>
      <c r="H16" s="47">
        <v>4563</v>
      </c>
      <c r="I16" s="44">
        <f>(H16/H26)*100</f>
        <v>3.340825725017023</v>
      </c>
      <c r="J16" s="47">
        <v>4001</v>
      </c>
      <c r="K16" s="45">
        <f>(J16/J26)*100</f>
        <v>2.994065748217105</v>
      </c>
    </row>
    <row r="17" spans="1:11" ht="15">
      <c r="A17" s="410" t="s">
        <v>197</v>
      </c>
      <c r="B17" s="47">
        <v>3800</v>
      </c>
      <c r="C17" s="44">
        <f>(B17/B26)*100</f>
        <v>2.678886147338738</v>
      </c>
      <c r="D17" s="47">
        <v>3602</v>
      </c>
      <c r="E17" s="44">
        <f>(D17/D26)*100</f>
        <v>2.4545981123718015</v>
      </c>
      <c r="F17" s="47">
        <v>3878</v>
      </c>
      <c r="G17" s="44">
        <f>(F17/F26)*100</f>
        <v>2.628047871403207</v>
      </c>
      <c r="H17" s="47">
        <v>3075</v>
      </c>
      <c r="I17" s="44">
        <f>(H17/H26)*100</f>
        <v>2.2513782828023987</v>
      </c>
      <c r="J17" s="47">
        <v>3223</v>
      </c>
      <c r="K17" s="45">
        <f>(J17/J26)*100</f>
        <v>2.4118655102483704</v>
      </c>
    </row>
    <row r="18" spans="1:11" ht="15">
      <c r="A18" s="410" t="s">
        <v>198</v>
      </c>
      <c r="B18" s="47">
        <v>3500</v>
      </c>
      <c r="C18" s="44">
        <f>(B18/B26)*100</f>
        <v>2.4673951357067323</v>
      </c>
      <c r="D18" s="47">
        <v>3159</v>
      </c>
      <c r="E18" s="44">
        <f>(D18/D26)*100</f>
        <v>2.152713891444342</v>
      </c>
      <c r="F18" s="47">
        <v>3743</v>
      </c>
      <c r="G18" s="44">
        <f>(F18/F26)*100</f>
        <v>2.5365609032135645</v>
      </c>
      <c r="H18" s="47">
        <v>3840</v>
      </c>
      <c r="I18" s="44">
        <f>(H18/H26)*100</f>
        <v>2.8114772702312876</v>
      </c>
      <c r="J18" s="47">
        <v>3950</v>
      </c>
      <c r="K18" s="45">
        <f>(J18/J26)*100</f>
        <v>2.95590095112661</v>
      </c>
    </row>
    <row r="19" spans="1:11" ht="15">
      <c r="A19" s="410" t="s">
        <v>194</v>
      </c>
      <c r="B19" s="47">
        <v>3400</v>
      </c>
      <c r="C19" s="44">
        <f>(B19/B26)*100</f>
        <v>2.396898131829397</v>
      </c>
      <c r="D19" s="47">
        <v>4338</v>
      </c>
      <c r="E19" s="44">
        <f>(D19/D26)*100</f>
        <v>2.9561484207298374</v>
      </c>
      <c r="F19" s="47">
        <v>4453</v>
      </c>
      <c r="G19" s="44">
        <f>(F19/F26)*100</f>
        <v>3.017714587766498</v>
      </c>
      <c r="H19" s="47">
        <v>5373</v>
      </c>
      <c r="I19" s="44">
        <f>(H19/H26)*100</f>
        <v>3.9338717117064346</v>
      </c>
      <c r="J19" s="47">
        <v>4069</v>
      </c>
      <c r="K19" s="45">
        <f>(J19/J26)*100</f>
        <v>3.0449521443377656</v>
      </c>
    </row>
    <row r="20" spans="1:11" ht="15">
      <c r="A20" s="410" t="s">
        <v>199</v>
      </c>
      <c r="B20" s="47">
        <v>2175</v>
      </c>
      <c r="C20" s="44">
        <f>(B20/B26)*100</f>
        <v>1.5333098343320408</v>
      </c>
      <c r="D20" s="47">
        <v>1923</v>
      </c>
      <c r="E20" s="44">
        <f>(D20/D26)*100</f>
        <v>1.3104364714300316</v>
      </c>
      <c r="F20" s="47">
        <v>2046</v>
      </c>
      <c r="G20" s="44">
        <f>(F20/F26)*100</f>
        <v>1.386535829007468</v>
      </c>
      <c r="H20" s="47">
        <v>1886</v>
      </c>
      <c r="I20" s="44">
        <f>(H20/H26)*100</f>
        <v>1.380845346785471</v>
      </c>
      <c r="J20" s="47">
        <v>982</v>
      </c>
      <c r="K20" s="45">
        <f>(J20/J26)*100</f>
        <v>0.7348594263307167</v>
      </c>
    </row>
    <row r="21" spans="1:11" ht="15">
      <c r="A21" s="410" t="s">
        <v>200</v>
      </c>
      <c r="B21" s="47">
        <v>2000</v>
      </c>
      <c r="C21" s="44">
        <f>(B21/B26)*100</f>
        <v>1.4099400775467044</v>
      </c>
      <c r="D21" s="47">
        <v>2017</v>
      </c>
      <c r="E21" s="44">
        <f>(D21/D26)*100</f>
        <v>1.3744931684214112</v>
      </c>
      <c r="F21" s="47">
        <v>1890</v>
      </c>
      <c r="G21" s="44">
        <f>(F21/F26)*100</f>
        <v>1.2808175546549925</v>
      </c>
      <c r="H21" s="47">
        <v>2193</v>
      </c>
      <c r="I21" s="44">
        <f>(H21/H26)*100</f>
        <v>1.6056170972961499</v>
      </c>
      <c r="J21" s="47">
        <v>1634</v>
      </c>
      <c r="K21" s="45">
        <f>(J21/J26)*100</f>
        <v>1.2227701656052863</v>
      </c>
    </row>
    <row r="22" spans="1:11" ht="15">
      <c r="A22" s="410" t="s">
        <v>201</v>
      </c>
      <c r="B22" s="47">
        <v>1508</v>
      </c>
      <c r="C22" s="44">
        <f>(B22/B26)*100</f>
        <v>1.0630948184702151</v>
      </c>
      <c r="D22" s="47">
        <v>1444</v>
      </c>
      <c r="E22" s="44">
        <f>(D22/D26)*100</f>
        <v>0.9840198984633208</v>
      </c>
      <c r="F22" s="47">
        <v>1571</v>
      </c>
      <c r="G22" s="44">
        <f>(F22/F26)*100</f>
        <v>1.064637237229097</v>
      </c>
      <c r="H22" s="47">
        <v>1462</v>
      </c>
      <c r="I22" s="44">
        <f>(H22/H26)*100</f>
        <v>1.070411398197433</v>
      </c>
      <c r="J22" s="47">
        <v>1392</v>
      </c>
      <c r="K22" s="45">
        <f>(J22/J26)*100</f>
        <v>1.0416744617641116</v>
      </c>
    </row>
    <row r="23" spans="1:11" ht="15" customHeight="1">
      <c r="A23" s="410" t="s">
        <v>202</v>
      </c>
      <c r="B23" s="47">
        <v>680</v>
      </c>
      <c r="C23" s="44">
        <f>(B23/B26)*100</f>
        <v>0.4793796263658795</v>
      </c>
      <c r="D23" s="47">
        <v>537</v>
      </c>
      <c r="E23" s="44">
        <f>(D23/D26)*100</f>
        <v>0.36594091791883876</v>
      </c>
      <c r="F23" s="47">
        <v>1235</v>
      </c>
      <c r="G23" s="44">
        <f>(F23/F26)*100</f>
        <v>0.8369363386237649</v>
      </c>
      <c r="H23" s="47">
        <v>1152</v>
      </c>
      <c r="I23" s="44">
        <f>(H23/H26)*100</f>
        <v>0.8434431810693863</v>
      </c>
      <c r="J23" s="47">
        <v>1814</v>
      </c>
      <c r="K23" s="45">
        <f>(J23/J26)*100</f>
        <v>1.3574694494540938</v>
      </c>
    </row>
    <row r="24" spans="1:11" ht="15" customHeight="1" hidden="1">
      <c r="A24" s="410"/>
      <c r="B24" s="47">
        <f>SUM(B9:B23)</f>
        <v>132851</v>
      </c>
      <c r="C24" s="409"/>
      <c r="D24" s="47">
        <f>SUM(D9:D23)</f>
        <v>137549</v>
      </c>
      <c r="E24" s="409"/>
      <c r="F24" s="47">
        <f>SUM(F9:F23)</f>
        <v>137691</v>
      </c>
      <c r="G24" s="409"/>
      <c r="H24" s="47">
        <f>SUM(H9:H23)</f>
        <v>126090</v>
      </c>
      <c r="I24" s="409"/>
      <c r="J24" s="47">
        <f>SUM(J9:J23)</f>
        <v>123371</v>
      </c>
      <c r="K24" s="410"/>
    </row>
    <row r="25" spans="1:11" ht="15">
      <c r="A25" s="410" t="s">
        <v>203</v>
      </c>
      <c r="B25" s="48">
        <f>B26-B24</f>
        <v>8999</v>
      </c>
      <c r="C25" s="49">
        <f>(B25/B26)*100</f>
        <v>6.344025378921396</v>
      </c>
      <c r="D25" s="48">
        <f>D26-D24</f>
        <v>9196</v>
      </c>
      <c r="E25" s="49">
        <f>(D25/D26)*100</f>
        <v>6.266653037582201</v>
      </c>
      <c r="F25" s="48">
        <f>F26-F24</f>
        <v>9871</v>
      </c>
      <c r="G25" s="49">
        <f>(F25/F26)*100</f>
        <v>6.689391577777476</v>
      </c>
      <c r="H25" s="48">
        <f>H26-H24</f>
        <v>10493</v>
      </c>
      <c r="I25" s="49">
        <f>(H25/H26)*100</f>
        <v>7.682508072014819</v>
      </c>
      <c r="J25" s="48">
        <f>J26-J24</f>
        <v>10260</v>
      </c>
      <c r="K25" s="50">
        <f>(J25/J26)*100</f>
        <v>7.677859179382029</v>
      </c>
    </row>
    <row r="26" spans="1:11" ht="18" customHeight="1">
      <c r="A26" s="411" t="s">
        <v>120</v>
      </c>
      <c r="B26" s="412">
        <v>141850</v>
      </c>
      <c r="C26" s="413">
        <f>SUM(C9:C25)</f>
        <v>100.00000000000004</v>
      </c>
      <c r="D26" s="412">
        <v>146745</v>
      </c>
      <c r="E26" s="413">
        <f>SUM(E9:E25)</f>
        <v>99.99999999999999</v>
      </c>
      <c r="F26" s="412">
        <v>147562</v>
      </c>
      <c r="G26" s="413">
        <f>SUM(G9:G25)</f>
        <v>99.99999999999999</v>
      </c>
      <c r="H26" s="412">
        <v>136583</v>
      </c>
      <c r="I26" s="413">
        <f>SUM(I9:I25)</f>
        <v>99.99999999999997</v>
      </c>
      <c r="J26" s="412">
        <v>133631</v>
      </c>
      <c r="K26" s="414">
        <f>SUM(K9:K25)</f>
        <v>100.00000000000003</v>
      </c>
    </row>
    <row r="27" spans="1:11" ht="15" customHeight="1">
      <c r="A27" s="415" t="s">
        <v>204</v>
      </c>
      <c r="B27" s="51"/>
      <c r="C27" s="51"/>
      <c r="D27" s="33"/>
      <c r="E27" s="33"/>
      <c r="F27" s="33"/>
      <c r="G27" s="33"/>
      <c r="H27" s="33"/>
      <c r="I27" s="33"/>
      <c r="J27" s="33"/>
      <c r="K27" s="33"/>
    </row>
    <row r="28" spans="1:11" ht="12.75" customHeight="1">
      <c r="A28" s="52"/>
      <c r="B28" s="51"/>
      <c r="C28" s="51"/>
      <c r="D28" s="33"/>
      <c r="E28" s="33"/>
      <c r="F28" s="33"/>
      <c r="G28" s="33"/>
      <c r="H28" s="33"/>
      <c r="I28" s="33"/>
      <c r="J28" s="33"/>
      <c r="K28" s="33"/>
    </row>
    <row r="29" spans="1:11" ht="20.25" customHeight="1">
      <c r="A29" s="1031" t="s">
        <v>206</v>
      </c>
      <c r="B29" s="1032"/>
      <c r="C29" s="1032"/>
      <c r="D29" s="1032"/>
      <c r="E29" s="1032"/>
      <c r="F29" s="1032"/>
      <c r="G29" s="1032"/>
      <c r="H29" s="1032"/>
      <c r="I29" s="1032"/>
      <c r="J29" s="1032"/>
      <c r="K29" s="1033"/>
    </row>
    <row r="30" spans="1:11" ht="15" customHeight="1">
      <c r="A30" s="1034" t="s">
        <v>182</v>
      </c>
      <c r="B30" s="1035" t="s">
        <v>223</v>
      </c>
      <c r="C30" s="1035"/>
      <c r="D30" s="1035" t="s">
        <v>184</v>
      </c>
      <c r="E30" s="1035"/>
      <c r="F30" s="1036" t="s">
        <v>185</v>
      </c>
      <c r="G30" s="1037"/>
      <c r="H30" s="1036" t="s">
        <v>35</v>
      </c>
      <c r="I30" s="1037"/>
      <c r="J30" s="1036" t="s">
        <v>186</v>
      </c>
      <c r="K30" s="1038"/>
    </row>
    <row r="31" spans="1:11" ht="15" customHeight="1">
      <c r="A31" s="1034"/>
      <c r="B31" s="40" t="s">
        <v>20</v>
      </c>
      <c r="C31" s="40" t="s">
        <v>187</v>
      </c>
      <c r="D31" s="40" t="s">
        <v>20</v>
      </c>
      <c r="E31" s="40" t="s">
        <v>187</v>
      </c>
      <c r="F31" s="40" t="s">
        <v>20</v>
      </c>
      <c r="G31" s="40" t="s">
        <v>187</v>
      </c>
      <c r="H31" s="40" t="s">
        <v>20</v>
      </c>
      <c r="I31" s="40" t="s">
        <v>187</v>
      </c>
      <c r="J31" s="40" t="s">
        <v>20</v>
      </c>
      <c r="K31" s="53" t="s">
        <v>187</v>
      </c>
    </row>
    <row r="32" spans="1:11" ht="15">
      <c r="A32" s="416" t="s">
        <v>188</v>
      </c>
      <c r="B32" s="43">
        <v>36735</v>
      </c>
      <c r="C32" s="54">
        <f>(B32/B49)*100</f>
        <v>32.878956036087644</v>
      </c>
      <c r="D32" s="43">
        <v>32010</v>
      </c>
      <c r="E32" s="54">
        <f>(D32/D49)*100</f>
        <v>28.816809355335295</v>
      </c>
      <c r="F32" s="43">
        <v>28735</v>
      </c>
      <c r="G32" s="54">
        <f>(F32/F49)*100</f>
        <v>25.393921719381034</v>
      </c>
      <c r="H32" s="43">
        <v>33610</v>
      </c>
      <c r="I32" s="54">
        <f>(H32/H49)*100</f>
        <v>32.14022740095436</v>
      </c>
      <c r="J32" s="43">
        <v>33494</v>
      </c>
      <c r="K32" s="55">
        <f>(J32/J49)*100</f>
        <v>34.55590289599389</v>
      </c>
    </row>
    <row r="33" spans="1:11" ht="15">
      <c r="A33" s="409" t="s">
        <v>189</v>
      </c>
      <c r="B33" s="56">
        <v>25000</v>
      </c>
      <c r="C33" s="44">
        <f>(B33/B49)*100</f>
        <v>22.37576972647859</v>
      </c>
      <c r="D33" s="56">
        <v>20475</v>
      </c>
      <c r="E33" s="44">
        <f>(D33/D49)*100</f>
        <v>18.43249520620088</v>
      </c>
      <c r="F33" s="56">
        <v>25475</v>
      </c>
      <c r="G33" s="44">
        <f>(F33/F49)*100</f>
        <v>22.512968707194428</v>
      </c>
      <c r="H33" s="56">
        <v>17675</v>
      </c>
      <c r="I33" s="44">
        <f>(H33/H49)*100</f>
        <v>16.902068411540263</v>
      </c>
      <c r="J33" s="56">
        <v>14229</v>
      </c>
      <c r="K33" s="45">
        <f>(J33/J49)*100</f>
        <v>14.680120090377294</v>
      </c>
    </row>
    <row r="34" spans="1:11" ht="15">
      <c r="A34" s="409" t="s">
        <v>190</v>
      </c>
      <c r="B34" s="56">
        <v>10954</v>
      </c>
      <c r="C34" s="44">
        <f>(B34/B49)*100</f>
        <v>9.80416726335386</v>
      </c>
      <c r="D34" s="56">
        <v>9670</v>
      </c>
      <c r="E34" s="44">
        <f>(D34/D49)*100</f>
        <v>8.705359152330281</v>
      </c>
      <c r="F34" s="56">
        <v>7170</v>
      </c>
      <c r="G34" s="44">
        <f>(F34/F49)*100</f>
        <v>6.33632917097484</v>
      </c>
      <c r="H34" s="56">
        <v>7734</v>
      </c>
      <c r="I34" s="44">
        <f>(H34/H49)*100</f>
        <v>7.395790500415977</v>
      </c>
      <c r="J34" s="56">
        <v>7822</v>
      </c>
      <c r="K34" s="45">
        <f>(J34/J49)*100</f>
        <v>8.069990817831977</v>
      </c>
    </row>
    <row r="35" spans="1:11" ht="15">
      <c r="A35" s="409" t="s">
        <v>193</v>
      </c>
      <c r="B35" s="56">
        <v>5131</v>
      </c>
      <c r="C35" s="44">
        <f>(B35/B49)*100</f>
        <v>4.592402978662466</v>
      </c>
      <c r="D35" s="56">
        <v>4963</v>
      </c>
      <c r="E35" s="44">
        <f>(D35/D49)*100</f>
        <v>4.467910803827838</v>
      </c>
      <c r="F35" s="56">
        <v>5288</v>
      </c>
      <c r="G35" s="44">
        <f>(F35/F49)*100</f>
        <v>4.673153229583676</v>
      </c>
      <c r="H35" s="56">
        <v>5840</v>
      </c>
      <c r="I35" s="44">
        <f>(H35/H49)*100</f>
        <v>5.584615531733813</v>
      </c>
      <c r="J35" s="56">
        <v>4631</v>
      </c>
      <c r="K35" s="45">
        <f>(J35/J49)*100</f>
        <v>4.77782248496291</v>
      </c>
    </row>
    <row r="36" spans="1:11" ht="15">
      <c r="A36" s="409" t="s">
        <v>191</v>
      </c>
      <c r="B36" s="56">
        <v>4548</v>
      </c>
      <c r="C36" s="44">
        <f>(B36/B49)*100</f>
        <v>4.070600028640985</v>
      </c>
      <c r="D36" s="56">
        <v>10882</v>
      </c>
      <c r="E36" s="44">
        <f>(D36/D49)*100</f>
        <v>9.79645483926144</v>
      </c>
      <c r="F36" s="56">
        <v>10940</v>
      </c>
      <c r="G36" s="44">
        <f>(F36/F49)*100</f>
        <v>9.667983421264262</v>
      </c>
      <c r="H36" s="56">
        <v>6185</v>
      </c>
      <c r="I36" s="44">
        <f>(H36/H49)*100</f>
        <v>5.914528606810554</v>
      </c>
      <c r="J36" s="56">
        <v>5489</v>
      </c>
      <c r="K36" s="45">
        <f>(J36/J49)*100</f>
        <v>5.6630247505854925</v>
      </c>
    </row>
    <row r="37" spans="1:11" ht="15">
      <c r="A37" s="409" t="s">
        <v>195</v>
      </c>
      <c r="B37" s="47">
        <v>4261</v>
      </c>
      <c r="C37" s="44">
        <f>(B37/B49)*100</f>
        <v>3.8137261921810115</v>
      </c>
      <c r="D37" s="47">
        <v>4185</v>
      </c>
      <c r="E37" s="44">
        <f>(D37/D49)*100</f>
        <v>3.767520998190509</v>
      </c>
      <c r="F37" s="47">
        <v>5508</v>
      </c>
      <c r="G37" s="44">
        <f>(F37/F49)*100</f>
        <v>4.867573371510379</v>
      </c>
      <c r="H37" s="47">
        <v>3947</v>
      </c>
      <c r="I37" s="44">
        <f>(H37/H49)*100</f>
        <v>3.774396832834479</v>
      </c>
      <c r="J37" s="47">
        <v>3349</v>
      </c>
      <c r="K37" s="45">
        <f>(J37/J49)*100</f>
        <v>3.4551776078904743</v>
      </c>
    </row>
    <row r="38" spans="1:11" ht="15">
      <c r="A38" s="409" t="s">
        <v>197</v>
      </c>
      <c r="B38" s="47">
        <v>3442</v>
      </c>
      <c r="C38" s="44">
        <f>(B38/B49)*100</f>
        <v>3.0806959759415724</v>
      </c>
      <c r="D38" s="47">
        <v>3672</v>
      </c>
      <c r="E38" s="44">
        <f>(D38/D49)*100</f>
        <v>3.3056958435736084</v>
      </c>
      <c r="F38" s="47">
        <v>2685</v>
      </c>
      <c r="G38" s="44">
        <f>(F38/F49)*100</f>
        <v>2.3728094594236326</v>
      </c>
      <c r="H38" s="47">
        <v>3142</v>
      </c>
      <c r="I38" s="44">
        <f>(H38/H49)*100</f>
        <v>3.004599657655418</v>
      </c>
      <c r="J38" s="47">
        <v>2657</v>
      </c>
      <c r="K38" s="45">
        <f>(J38/J49)*100</f>
        <v>2.7412382514675993</v>
      </c>
    </row>
    <row r="39" spans="1:11" ht="15">
      <c r="A39" s="409" t="s">
        <v>192</v>
      </c>
      <c r="B39" s="56">
        <v>3137</v>
      </c>
      <c r="C39" s="44">
        <f>(B39/B49)*100</f>
        <v>2.8077115852785335</v>
      </c>
      <c r="D39" s="56">
        <v>2870</v>
      </c>
      <c r="E39" s="44">
        <f>(D39/D49)*100</f>
        <v>2.583700182749525</v>
      </c>
      <c r="F39" s="56">
        <v>3203</v>
      </c>
      <c r="G39" s="44">
        <f>(F39/F49)*100</f>
        <v>2.8305805208692347</v>
      </c>
      <c r="H39" s="56">
        <v>2675</v>
      </c>
      <c r="I39" s="44">
        <f>(H39/H49)*100</f>
        <v>2.558021669073279</v>
      </c>
      <c r="J39" s="56">
        <v>3324</v>
      </c>
      <c r="K39" s="45">
        <f>(J39/J49)*100</f>
        <v>3.42938500108329</v>
      </c>
    </row>
    <row r="40" spans="1:11" ht="15">
      <c r="A40" s="409" t="s">
        <v>198</v>
      </c>
      <c r="B40" s="56">
        <v>3045</v>
      </c>
      <c r="C40" s="44">
        <f>(B40/B49)*100</f>
        <v>2.7253687526850925</v>
      </c>
      <c r="D40" s="56">
        <v>2575</v>
      </c>
      <c r="E40" s="44">
        <f>(D40/D49)*100</f>
        <v>2.3181282127456537</v>
      </c>
      <c r="F40" s="56">
        <v>3750</v>
      </c>
      <c r="G40" s="44">
        <f>(F40/F49)*100</f>
        <v>3.3139796919324476</v>
      </c>
      <c r="H40" s="56">
        <v>3697</v>
      </c>
      <c r="I40" s="44">
        <f>(H40/H49)*100</f>
        <v>3.5353293871266964</v>
      </c>
      <c r="J40" s="56">
        <v>3468</v>
      </c>
      <c r="K40" s="45">
        <f>(J40/J49)*100</f>
        <v>3.5779504162926736</v>
      </c>
    </row>
    <row r="41" spans="1:11" ht="15">
      <c r="A41" s="410" t="s">
        <v>194</v>
      </c>
      <c r="B41" s="56">
        <v>2891</v>
      </c>
      <c r="C41" s="44">
        <f>(B41/B49)*100</f>
        <v>2.5875340111699843</v>
      </c>
      <c r="D41" s="56">
        <v>3971</v>
      </c>
      <c r="E41" s="44">
        <f>(D41/D49)*100</f>
        <v>3.574868789441939</v>
      </c>
      <c r="F41" s="56">
        <v>4310</v>
      </c>
      <c r="G41" s="44">
        <f>(F41/F49)*100</f>
        <v>3.8088673259276935</v>
      </c>
      <c r="H41" s="56">
        <v>4697</v>
      </c>
      <c r="I41" s="44">
        <f>(H41/H49)*100</f>
        <v>4.491599169957829</v>
      </c>
      <c r="J41" s="56">
        <v>3817</v>
      </c>
      <c r="K41" s="45">
        <f>(J41/J49)*100</f>
        <v>3.9380152073209738</v>
      </c>
    </row>
    <row r="42" spans="1:11" ht="15">
      <c r="A42" s="410" t="s">
        <v>196</v>
      </c>
      <c r="B42" s="56">
        <v>2448</v>
      </c>
      <c r="C42" s="44">
        <f>(B42/B49)*100</f>
        <v>2.191035371616784</v>
      </c>
      <c r="D42" s="56">
        <v>3132</v>
      </c>
      <c r="E42" s="44">
        <f>(D42/D49)*100</f>
        <v>2.819564101871607</v>
      </c>
      <c r="F42" s="56">
        <v>3556</v>
      </c>
      <c r="G42" s="44">
        <f>(F42/F49)*100</f>
        <v>3.1425364758698096</v>
      </c>
      <c r="H42" s="56">
        <v>2907</v>
      </c>
      <c r="I42" s="44">
        <f>(H42/H49)*100</f>
        <v>2.7798762586901016</v>
      </c>
      <c r="J42" s="56">
        <v>2498</v>
      </c>
      <c r="K42" s="45">
        <f>(J42/J49)*100</f>
        <v>2.5771972721739043</v>
      </c>
    </row>
    <row r="43" spans="1:11" ht="15">
      <c r="A43" s="409" t="s">
        <v>200</v>
      </c>
      <c r="B43" s="56">
        <v>1900</v>
      </c>
      <c r="C43" s="44">
        <f>(B43/B49)*100</f>
        <v>1.7005584992123728</v>
      </c>
      <c r="D43" s="56">
        <v>1661</v>
      </c>
      <c r="E43" s="44">
        <f>(D43/D49)*100</f>
        <v>1.4953052277167111</v>
      </c>
      <c r="F43" s="56">
        <v>1987</v>
      </c>
      <c r="G43" s="44">
        <f>(F43/F49)*100</f>
        <v>1.7559673727652731</v>
      </c>
      <c r="H43" s="56">
        <v>1468</v>
      </c>
      <c r="I43" s="44">
        <f>(H43/H49)*100</f>
        <v>1.4038040411961021</v>
      </c>
      <c r="J43" s="56">
        <v>1712</v>
      </c>
      <c r="K43" s="45">
        <f>(J43/J49)*100</f>
        <v>1.7662777141560144</v>
      </c>
    </row>
    <row r="44" spans="1:11" ht="15">
      <c r="A44" s="410" t="s">
        <v>199</v>
      </c>
      <c r="B44" s="56">
        <v>1567</v>
      </c>
      <c r="C44" s="44">
        <f>(B44/B49)*100</f>
        <v>1.4025132464556782</v>
      </c>
      <c r="D44" s="56">
        <v>1942</v>
      </c>
      <c r="E44" s="44">
        <f>(D44/D49)*100</f>
        <v>1.748273782194975</v>
      </c>
      <c r="F44" s="56">
        <v>1712</v>
      </c>
      <c r="G44" s="44">
        <f>(F44/F49)*100</f>
        <v>1.5129421953568933</v>
      </c>
      <c r="H44" s="56">
        <v>772</v>
      </c>
      <c r="I44" s="44">
        <f>(H44/H49)*100</f>
        <v>0.7382402723456342</v>
      </c>
      <c r="J44" s="56">
        <v>1912</v>
      </c>
      <c r="K44" s="45">
        <f>(J44/J49)*100</f>
        <v>1.9726185686134927</v>
      </c>
    </row>
    <row r="45" spans="1:11" ht="15">
      <c r="A45" s="410" t="s">
        <v>201</v>
      </c>
      <c r="B45" s="47">
        <v>1212</v>
      </c>
      <c r="C45" s="44">
        <f>(B45/B49)*100</f>
        <v>1.084777316339682</v>
      </c>
      <c r="D45" s="47">
        <v>1344</v>
      </c>
      <c r="E45" s="44">
        <f>(D45/D49)*100</f>
        <v>1.2099278904583142</v>
      </c>
      <c r="F45" s="47">
        <v>1374</v>
      </c>
      <c r="G45" s="44">
        <f>(F45/F49)*100</f>
        <v>1.2142421591240489</v>
      </c>
      <c r="H45" s="47">
        <v>1243</v>
      </c>
      <c r="I45" s="44">
        <f>(H45/H49)*100</f>
        <v>1.1886433400590974</v>
      </c>
      <c r="J45" s="47">
        <v>1200</v>
      </c>
      <c r="K45" s="45">
        <f>(J45/J49)*100</f>
        <v>1.23804512674487</v>
      </c>
    </row>
    <row r="46" spans="1:11" ht="15" customHeight="1">
      <c r="A46" s="410" t="s">
        <v>202</v>
      </c>
      <c r="B46" s="56">
        <v>430</v>
      </c>
      <c r="C46" s="44">
        <f>(B46/B49)*100</f>
        <v>0.38486323929543176</v>
      </c>
      <c r="D46" s="56">
        <v>1103</v>
      </c>
      <c r="E46" s="44">
        <f>(D46/D49)*100</f>
        <v>0.9929690946246433</v>
      </c>
      <c r="F46" s="56">
        <v>1044</v>
      </c>
      <c r="G46" s="44">
        <f>(F46/F49)*100</f>
        <v>0.9226119462339935</v>
      </c>
      <c r="H46" s="56">
        <v>1826</v>
      </c>
      <c r="I46" s="44">
        <f>(H46/H49)*100</f>
        <v>1.7461486234496477</v>
      </c>
      <c r="J46" s="56">
        <v>1082</v>
      </c>
      <c r="K46" s="45">
        <f>(J46/J49)*100</f>
        <v>1.1163040226149576</v>
      </c>
    </row>
    <row r="47" spans="1:11" ht="17.25" customHeight="1" hidden="1">
      <c r="A47" s="409"/>
      <c r="B47" s="56">
        <f>SUM(B32:B46)</f>
        <v>106701</v>
      </c>
      <c r="C47" s="409"/>
      <c r="D47" s="56">
        <f>SUM(D32:D46)</f>
        <v>104455</v>
      </c>
      <c r="E47" s="409"/>
      <c r="F47" s="56">
        <f>SUM(F32:F46)</f>
        <v>106737</v>
      </c>
      <c r="G47" s="409"/>
      <c r="H47" s="56">
        <f>SUM(H32:H46)</f>
        <v>97418</v>
      </c>
      <c r="I47" s="409"/>
      <c r="J47" s="56">
        <f>SUM(J32:J46)</f>
        <v>90684</v>
      </c>
      <c r="K47" s="410"/>
    </row>
    <row r="48" spans="1:11" ht="15">
      <c r="A48" s="417" t="s">
        <v>203</v>
      </c>
      <c r="B48" s="48">
        <f>B49-B47</f>
        <v>5027</v>
      </c>
      <c r="C48" s="49">
        <f>(B48/B49)*100</f>
        <v>4.499319776600315</v>
      </c>
      <c r="D48" s="48">
        <f>D49-D47</f>
        <v>6626</v>
      </c>
      <c r="E48" s="49">
        <f>(D48/D49)*100</f>
        <v>5.965016519476778</v>
      </c>
      <c r="F48" s="48">
        <f>F49-F47</f>
        <v>6420</v>
      </c>
      <c r="G48" s="49">
        <f>(F48/F49)*100</f>
        <v>5.67353323258835</v>
      </c>
      <c r="H48" s="48">
        <f>H49-H47</f>
        <v>7155</v>
      </c>
      <c r="I48" s="49">
        <f>(H48/H49)*100</f>
        <v>6.8421102961567515</v>
      </c>
      <c r="J48" s="48">
        <f>J49-J47</f>
        <v>6243</v>
      </c>
      <c r="K48" s="50">
        <f>(J48/J49)*100</f>
        <v>6.440929771890186</v>
      </c>
    </row>
    <row r="49" spans="1:11" ht="18" customHeight="1">
      <c r="A49" s="418" t="s">
        <v>120</v>
      </c>
      <c r="B49" s="412">
        <v>111728</v>
      </c>
      <c r="C49" s="413">
        <f>SUM(C32:C48)</f>
        <v>99.99999999999999</v>
      </c>
      <c r="D49" s="412">
        <v>111081</v>
      </c>
      <c r="E49" s="413">
        <f>SUM(E32:E48)</f>
        <v>99.99999999999999</v>
      </c>
      <c r="F49" s="412">
        <v>113157</v>
      </c>
      <c r="G49" s="413">
        <f>SUM(G32:G48)</f>
        <v>100</v>
      </c>
      <c r="H49" s="412">
        <v>104573</v>
      </c>
      <c r="I49" s="413">
        <f>SUM(I32:I48)</f>
        <v>99.99999999999999</v>
      </c>
      <c r="J49" s="412">
        <v>96927</v>
      </c>
      <c r="K49" s="414">
        <f>SUM(K32:K48)</f>
        <v>100</v>
      </c>
    </row>
    <row r="50" spans="1:11" ht="15" customHeight="1">
      <c r="A50" s="419" t="s">
        <v>207</v>
      </c>
      <c r="B50" s="57"/>
      <c r="C50" s="57"/>
      <c r="D50" s="58"/>
      <c r="E50" s="58"/>
      <c r="F50" s="58"/>
      <c r="G50" s="58"/>
      <c r="H50" s="420"/>
      <c r="I50" s="421"/>
      <c r="J50" s="420"/>
      <c r="K50" s="421"/>
    </row>
    <row r="51" spans="1:11" ht="12.75" customHeight="1">
      <c r="A51" s="52"/>
      <c r="B51" s="57"/>
      <c r="C51" s="57"/>
      <c r="D51" s="58"/>
      <c r="E51" s="58"/>
      <c r="F51" s="58"/>
      <c r="G51" s="58"/>
      <c r="H51" s="420"/>
      <c r="I51" s="421"/>
      <c r="J51" s="420"/>
      <c r="K51" s="421"/>
    </row>
    <row r="52" spans="1:11" ht="20.25" customHeight="1">
      <c r="A52" s="1031" t="s">
        <v>208</v>
      </c>
      <c r="B52" s="1032"/>
      <c r="C52" s="1032"/>
      <c r="D52" s="1032"/>
      <c r="E52" s="1032"/>
      <c r="F52" s="1032"/>
      <c r="G52" s="1032"/>
      <c r="H52" s="1032"/>
      <c r="I52" s="1032"/>
      <c r="J52" s="1032"/>
      <c r="K52" s="1033"/>
    </row>
    <row r="53" spans="1:11" ht="15" customHeight="1">
      <c r="A53" s="1034" t="s">
        <v>182</v>
      </c>
      <c r="B53" s="1035" t="s">
        <v>183</v>
      </c>
      <c r="C53" s="1035"/>
      <c r="D53" s="1035" t="s">
        <v>184</v>
      </c>
      <c r="E53" s="1035"/>
      <c r="F53" s="1036" t="s">
        <v>185</v>
      </c>
      <c r="G53" s="1037"/>
      <c r="H53" s="1036" t="s">
        <v>35</v>
      </c>
      <c r="I53" s="1037"/>
      <c r="J53" s="1036" t="s">
        <v>186</v>
      </c>
      <c r="K53" s="1038"/>
    </row>
    <row r="54" spans="1:11" ht="15" customHeight="1">
      <c r="A54" s="1034"/>
      <c r="B54" s="40" t="s">
        <v>19</v>
      </c>
      <c r="C54" s="40" t="s">
        <v>187</v>
      </c>
      <c r="D54" s="40" t="s">
        <v>19</v>
      </c>
      <c r="E54" s="40" t="s">
        <v>187</v>
      </c>
      <c r="F54" s="40" t="s">
        <v>19</v>
      </c>
      <c r="G54" s="40" t="s">
        <v>187</v>
      </c>
      <c r="H54" s="40" t="s">
        <v>19</v>
      </c>
      <c r="I54" s="40" t="s">
        <v>187</v>
      </c>
      <c r="J54" s="40" t="s">
        <v>19</v>
      </c>
      <c r="K54" s="53" t="s">
        <v>187</v>
      </c>
    </row>
    <row r="55" spans="1:11" ht="15" customHeight="1">
      <c r="A55" s="416" t="s">
        <v>188</v>
      </c>
      <c r="B55" s="43">
        <v>20333</v>
      </c>
      <c r="C55" s="54">
        <f>(B55/B72)*100</f>
        <v>44.00986991623558</v>
      </c>
      <c r="D55" s="43">
        <v>20085</v>
      </c>
      <c r="E55" s="54">
        <f>(D55/D72)*100</f>
        <v>44.641269559032715</v>
      </c>
      <c r="F55" s="43">
        <v>20330</v>
      </c>
      <c r="G55" s="54">
        <f>(F55/F72)*100</f>
        <v>45.97259282709963</v>
      </c>
      <c r="H55" s="43">
        <v>19720</v>
      </c>
      <c r="I55" s="54">
        <f>(H55/H72)*100</f>
        <v>46.08122634014114</v>
      </c>
      <c r="J55" s="43">
        <v>19131.83</v>
      </c>
      <c r="K55" s="55">
        <f>(J55/J72)*100</f>
        <v>46.657310084136085</v>
      </c>
    </row>
    <row r="56" spans="1:11" ht="15" customHeight="1">
      <c r="A56" s="409" t="s">
        <v>191</v>
      </c>
      <c r="B56" s="56">
        <v>3584</v>
      </c>
      <c r="C56" s="44">
        <f>(B56/B72)*100</f>
        <v>7.757407848314972</v>
      </c>
      <c r="D56" s="56">
        <v>3584</v>
      </c>
      <c r="E56" s="44">
        <f>(D56/D72)*100</f>
        <v>7.965860597439544</v>
      </c>
      <c r="F56" s="56">
        <v>3584</v>
      </c>
      <c r="G56" s="44">
        <f>(F56/F72)*100</f>
        <v>8.104563339514268</v>
      </c>
      <c r="H56" s="56">
        <v>3333</v>
      </c>
      <c r="I56" s="44">
        <f>(H56/H72)*100</f>
        <v>7.788475019862598</v>
      </c>
      <c r="J56" s="56">
        <v>3333</v>
      </c>
      <c r="K56" s="45">
        <f>(J56/J72)*100</f>
        <v>8.128277039385441</v>
      </c>
    </row>
    <row r="57" spans="1:11" ht="15" customHeight="1">
      <c r="A57" s="409" t="s">
        <v>192</v>
      </c>
      <c r="B57" s="56">
        <v>3383</v>
      </c>
      <c r="C57" s="44">
        <f>(B57/B72)*100</f>
        <v>7.322352330036147</v>
      </c>
      <c r="D57" s="56">
        <v>3383</v>
      </c>
      <c r="E57" s="44">
        <f>(D57/D72)*100</f>
        <v>7.519114509246089</v>
      </c>
      <c r="F57" s="56">
        <v>3383</v>
      </c>
      <c r="G57" s="44">
        <f>(F57/F72)*100</f>
        <v>7.650038442404234</v>
      </c>
      <c r="H57" s="56">
        <v>3383</v>
      </c>
      <c r="I57" s="44">
        <f>(H57/H72)*100</f>
        <v>7.905313829041455</v>
      </c>
      <c r="J57" s="56">
        <v>3253</v>
      </c>
      <c r="K57" s="45">
        <f>(J57/J72)*100</f>
        <v>7.933178880624315</v>
      </c>
    </row>
    <row r="58" spans="1:11" ht="15" customHeight="1">
      <c r="A58" s="409" t="s">
        <v>196</v>
      </c>
      <c r="B58" s="56">
        <v>2354</v>
      </c>
      <c r="C58" s="44">
        <f>(B58/B72)*100</f>
        <v>5.09512781108634</v>
      </c>
      <c r="D58" s="56">
        <v>2354</v>
      </c>
      <c r="E58" s="44">
        <f>(D58/D72)*100</f>
        <v>5.232041251778094</v>
      </c>
      <c r="F58" s="56">
        <v>2354</v>
      </c>
      <c r="G58" s="44">
        <f>(F58/F72)*100</f>
        <v>5.3231423273483784</v>
      </c>
      <c r="H58" s="56">
        <v>2354</v>
      </c>
      <c r="I58" s="44">
        <f>(H58/H72)*100</f>
        <v>5.50077113614058</v>
      </c>
      <c r="J58" s="56">
        <v>2239</v>
      </c>
      <c r="K58" s="45">
        <f>(J58/J72)*100</f>
        <v>5.460309718327033</v>
      </c>
    </row>
    <row r="59" spans="1:11" ht="15" customHeight="1">
      <c r="A59" s="409" t="s">
        <v>193</v>
      </c>
      <c r="B59" s="56">
        <v>1917</v>
      </c>
      <c r="C59" s="44">
        <f>(B59/B72)*100</f>
        <v>4.149260838509989</v>
      </c>
      <c r="D59" s="56">
        <v>1917</v>
      </c>
      <c r="E59" s="44">
        <f>(D59/D72)*100</f>
        <v>4.260757467994311</v>
      </c>
      <c r="F59" s="56">
        <v>1917</v>
      </c>
      <c r="G59" s="44">
        <f>(F59/F72)*100</f>
        <v>4.334946406765863</v>
      </c>
      <c r="H59" s="56">
        <v>1829</v>
      </c>
      <c r="I59" s="44">
        <f>(H59/H72)*100</f>
        <v>4.2739636397625835</v>
      </c>
      <c r="J59" s="56">
        <v>1725</v>
      </c>
      <c r="K59" s="45">
        <f>(J59/J72)*100</f>
        <v>4.206804048286794</v>
      </c>
    </row>
    <row r="60" spans="1:11" ht="15" customHeight="1">
      <c r="A60" s="409" t="s">
        <v>189</v>
      </c>
      <c r="B60" s="56">
        <v>1583</v>
      </c>
      <c r="C60" s="44">
        <f>(B60/B72)*100</f>
        <v>3.4263327633601</v>
      </c>
      <c r="D60" s="56">
        <v>1583</v>
      </c>
      <c r="E60" s="44">
        <f>(D60/D72)*100</f>
        <v>3.5184032716927454</v>
      </c>
      <c r="F60" s="56">
        <v>1583</v>
      </c>
      <c r="G60" s="44">
        <f>(F60/F72)*100</f>
        <v>3.5796662294785406</v>
      </c>
      <c r="H60" s="56">
        <v>1583</v>
      </c>
      <c r="I60" s="44">
        <f>(H60/H72)*100</f>
        <v>3.699116698602608</v>
      </c>
      <c r="J60" s="56">
        <v>1302</v>
      </c>
      <c r="K60" s="45">
        <f>(J60/J72)*100</f>
        <v>3.1752225338373368</v>
      </c>
    </row>
    <row r="61" spans="1:11" ht="15" customHeight="1">
      <c r="A61" s="409" t="s">
        <v>190</v>
      </c>
      <c r="B61" s="56">
        <v>1439</v>
      </c>
      <c r="C61" s="44">
        <f>(B61/B72)*100</f>
        <v>3.1146511980260168</v>
      </c>
      <c r="D61" s="56">
        <v>1439</v>
      </c>
      <c r="E61" s="44">
        <f>(D61/D72)*100</f>
        <v>3.1983463726884778</v>
      </c>
      <c r="F61" s="56">
        <v>1439</v>
      </c>
      <c r="G61" s="44">
        <f>(F61/F72)*100</f>
        <v>3.2540364524444843</v>
      </c>
      <c r="H61" s="56">
        <v>1439</v>
      </c>
      <c r="I61" s="44">
        <f>(H61/H72)*100</f>
        <v>3.3626209281675</v>
      </c>
      <c r="J61" s="56">
        <v>1308</v>
      </c>
      <c r="K61" s="45">
        <f>(J61/J72)*100</f>
        <v>3.1898548957444213</v>
      </c>
    </row>
    <row r="62" spans="1:11" ht="15" customHeight="1">
      <c r="A62" s="409" t="s">
        <v>195</v>
      </c>
      <c r="B62" s="47">
        <v>345</v>
      </c>
      <c r="C62" s="44">
        <f>(B62/B72)*100</f>
        <v>0.7467370836129088</v>
      </c>
      <c r="D62" s="47">
        <v>345</v>
      </c>
      <c r="E62" s="44">
        <f>(D62/D72)*100</f>
        <v>0.766802987197724</v>
      </c>
      <c r="F62" s="47">
        <v>345</v>
      </c>
      <c r="G62" s="44">
        <f>(F62/F72)*100</f>
        <v>0.7801546741440911</v>
      </c>
      <c r="H62" s="47">
        <v>345</v>
      </c>
      <c r="I62" s="44">
        <f>(H62/H72)*100</f>
        <v>0.8061877833341122</v>
      </c>
      <c r="J62" s="47">
        <v>345</v>
      </c>
      <c r="K62" s="45">
        <f>(J62/J72)*100</f>
        <v>0.8413608096573589</v>
      </c>
    </row>
    <row r="63" spans="1:11" ht="15" customHeight="1">
      <c r="A63" s="409" t="s">
        <v>198</v>
      </c>
      <c r="B63" s="56">
        <v>340</v>
      </c>
      <c r="C63" s="44">
        <f>(B63/B72)*100</f>
        <v>0.7359148070388087</v>
      </c>
      <c r="D63" s="56">
        <v>340</v>
      </c>
      <c r="E63" s="44">
        <f>(D63/D72)*100</f>
        <v>0.7556899004267426</v>
      </c>
      <c r="F63" s="56">
        <v>340</v>
      </c>
      <c r="G63" s="44">
        <f>(F63/F72)*100</f>
        <v>0.768848084663742</v>
      </c>
      <c r="H63" s="56">
        <v>340</v>
      </c>
      <c r="I63" s="44">
        <f>(H63/H72)*100</f>
        <v>0.7945039024162265</v>
      </c>
      <c r="J63" s="56">
        <v>340</v>
      </c>
      <c r="K63" s="45">
        <f>(J63/J72)*100</f>
        <v>0.8291671747347884</v>
      </c>
    </row>
    <row r="64" spans="1:11" ht="15" customHeight="1">
      <c r="A64" s="410" t="s">
        <v>199</v>
      </c>
      <c r="B64" s="56">
        <v>317</v>
      </c>
      <c r="C64" s="44">
        <f>(B64/B72)*100</f>
        <v>0.6861323347979481</v>
      </c>
      <c r="D64" s="56">
        <v>317</v>
      </c>
      <c r="E64" s="44">
        <f>(D64/D72)*100</f>
        <v>0.7045697012802276</v>
      </c>
      <c r="F64" s="56">
        <v>317</v>
      </c>
      <c r="G64" s="44">
        <f>(F64/F72)*100</f>
        <v>0.7168377730541359</v>
      </c>
      <c r="H64" s="56">
        <v>317</v>
      </c>
      <c r="I64" s="44">
        <f>(H64/H72)*100</f>
        <v>0.7407580501939525</v>
      </c>
      <c r="J64" s="56">
        <v>317</v>
      </c>
      <c r="K64" s="45">
        <f>(J64/J72)*100</f>
        <v>0.7730764540909646</v>
      </c>
    </row>
    <row r="65" spans="1:11" ht="15" customHeight="1">
      <c r="A65" s="410" t="s">
        <v>202</v>
      </c>
      <c r="B65" s="56">
        <v>275</v>
      </c>
      <c r="C65" s="44">
        <f>(B65/B72)*100</f>
        <v>0.595225211575507</v>
      </c>
      <c r="D65" s="56">
        <v>275</v>
      </c>
      <c r="E65" s="44">
        <f>(D65/D72)*100</f>
        <v>0.611219772403983</v>
      </c>
      <c r="F65" s="56">
        <v>275</v>
      </c>
      <c r="G65" s="44">
        <f>(F65/F72)*100</f>
        <v>0.6218624214192031</v>
      </c>
      <c r="H65" s="56">
        <v>271</v>
      </c>
      <c r="I65" s="44">
        <f>(H65/H72)*100</f>
        <v>0.6332663457494041</v>
      </c>
      <c r="J65" s="56">
        <v>275</v>
      </c>
      <c r="K65" s="45">
        <f>(J65/J72)*100</f>
        <v>0.670649920741373</v>
      </c>
    </row>
    <row r="66" spans="1:11" ht="15" customHeight="1">
      <c r="A66" s="410" t="s">
        <v>201</v>
      </c>
      <c r="B66" s="56">
        <v>251</v>
      </c>
      <c r="C66" s="44">
        <f>(B66/B72)*100</f>
        <v>0.5432782840198264</v>
      </c>
      <c r="D66" s="56">
        <v>251</v>
      </c>
      <c r="E66" s="44">
        <f>(D66/D72)*100</f>
        <v>0.5578769559032717</v>
      </c>
      <c r="F66" s="56">
        <v>251</v>
      </c>
      <c r="G66" s="44">
        <f>(F66/F72)*100</f>
        <v>0.5675907919135272</v>
      </c>
      <c r="H66" s="56">
        <v>270</v>
      </c>
      <c r="I66" s="44">
        <f>(H66/H72)*100</f>
        <v>0.630929569565827</v>
      </c>
      <c r="J66" s="56">
        <v>282</v>
      </c>
      <c r="K66" s="45">
        <f>(J66/J72)*100</f>
        <v>0.6877210096329716</v>
      </c>
    </row>
    <row r="67" spans="1:11" ht="15" customHeight="1">
      <c r="A67" s="410" t="s">
        <v>194</v>
      </c>
      <c r="B67" s="56">
        <v>250</v>
      </c>
      <c r="C67" s="44">
        <f>(B67/B72)*100</f>
        <v>0.5411138287050064</v>
      </c>
      <c r="D67" s="56">
        <v>250</v>
      </c>
      <c r="E67" s="44">
        <f>(D67/D72)*100</f>
        <v>0.5556543385490753</v>
      </c>
      <c r="F67" s="56">
        <v>250</v>
      </c>
      <c r="G67" s="44">
        <f>(F67/F72)*100</f>
        <v>0.5653294740174574</v>
      </c>
      <c r="H67" s="56">
        <v>250</v>
      </c>
      <c r="I67" s="44">
        <f>(H67/H72)*100</f>
        <v>0.5841940458942843</v>
      </c>
      <c r="J67" s="56">
        <v>250</v>
      </c>
      <c r="K67" s="45">
        <f>(J67/J72)*100</f>
        <v>0.6096817461285209</v>
      </c>
    </row>
    <row r="68" spans="1:11" ht="15" customHeight="1">
      <c r="A68" s="409" t="s">
        <v>200</v>
      </c>
      <c r="B68" s="56">
        <v>204</v>
      </c>
      <c r="C68" s="44">
        <f>(B68/B72)*100</f>
        <v>0.44154888422328525</v>
      </c>
      <c r="D68" s="56">
        <v>204</v>
      </c>
      <c r="E68" s="44">
        <f>(D68/D72)*100</f>
        <v>0.4534139402560455</v>
      </c>
      <c r="F68" s="56">
        <v>204</v>
      </c>
      <c r="G68" s="44">
        <f>(F68/F72)*100</f>
        <v>0.46130885079824524</v>
      </c>
      <c r="H68" s="56">
        <v>202</v>
      </c>
      <c r="I68" s="44">
        <f>(H68/H72)*100</f>
        <v>0.47202878908258167</v>
      </c>
      <c r="J68" s="56">
        <v>199</v>
      </c>
      <c r="K68" s="45">
        <f>(J68/J72)*100</f>
        <v>0.4853066699183026</v>
      </c>
    </row>
    <row r="69" spans="1:11" ht="15" customHeight="1">
      <c r="A69" s="410" t="s">
        <v>197</v>
      </c>
      <c r="B69" s="56">
        <v>140</v>
      </c>
      <c r="C69" s="44">
        <f>(B69/B72)*100</f>
        <v>0.30302374407480354</v>
      </c>
      <c r="D69" s="56">
        <v>140</v>
      </c>
      <c r="E69" s="44">
        <f>(D69/D72)*100</f>
        <v>0.3111664295874822</v>
      </c>
      <c r="F69" s="56">
        <v>140</v>
      </c>
      <c r="G69" s="44">
        <f>(F69/F72)*100</f>
        <v>0.3165845054497761</v>
      </c>
      <c r="H69" s="56">
        <v>140</v>
      </c>
      <c r="I69" s="44">
        <f>(H69/H72)*100</f>
        <v>0.3271486657007992</v>
      </c>
      <c r="J69" s="56">
        <v>140</v>
      </c>
      <c r="K69" s="45">
        <f>(J69/J72)*100</f>
        <v>0.3414217778319717</v>
      </c>
    </row>
    <row r="70" spans="1:11" ht="15" customHeight="1" hidden="1">
      <c r="A70" s="409"/>
      <c r="B70" s="56">
        <f>SUM(B55:B69)</f>
        <v>36715</v>
      </c>
      <c r="C70" s="44"/>
      <c r="D70" s="56">
        <f>SUM(D55:D69)</f>
        <v>36467</v>
      </c>
      <c r="E70" s="44"/>
      <c r="F70" s="56">
        <f>SUM(F55:F69)</f>
        <v>36712</v>
      </c>
      <c r="G70" s="44"/>
      <c r="H70" s="56">
        <f>SUM(H55:H69)</f>
        <v>35776</v>
      </c>
      <c r="I70" s="44"/>
      <c r="J70" s="56">
        <f>SUM(J55:J69)</f>
        <v>34439.83</v>
      </c>
      <c r="K70" s="45"/>
    </row>
    <row r="71" spans="1:11" ht="15" customHeight="1">
      <c r="A71" s="417" t="s">
        <v>203</v>
      </c>
      <c r="B71" s="48">
        <f>B72-B70</f>
        <v>9486</v>
      </c>
      <c r="C71" s="49">
        <f>(B71/B72)*100</f>
        <v>20.53202311638276</v>
      </c>
      <c r="D71" s="48">
        <f>D72-D70</f>
        <v>8525</v>
      </c>
      <c r="E71" s="49">
        <f>(D71/D72)*100</f>
        <v>18.94781294452347</v>
      </c>
      <c r="F71" s="48">
        <f>F72-F70</f>
        <v>7510</v>
      </c>
      <c r="G71" s="49">
        <f>(F71/F72)*100</f>
        <v>16.98249739948442</v>
      </c>
      <c r="H71" s="48">
        <f>H72-H70</f>
        <v>7018</v>
      </c>
      <c r="I71" s="49">
        <f>(H71/H72)*100</f>
        <v>16.39949525634435</v>
      </c>
      <c r="J71" s="48">
        <f>J72-J70</f>
        <v>6565.169999999998</v>
      </c>
      <c r="K71" s="50">
        <f>(J71/J72)*100</f>
        <v>16.01065723692232</v>
      </c>
    </row>
    <row r="72" spans="1:11" ht="18" customHeight="1">
      <c r="A72" s="411" t="s">
        <v>120</v>
      </c>
      <c r="B72" s="422">
        <v>46201</v>
      </c>
      <c r="C72" s="413">
        <f>SUM(C55:C71)</f>
        <v>99.99999999999999</v>
      </c>
      <c r="D72" s="422">
        <v>44992</v>
      </c>
      <c r="E72" s="413">
        <f>SUM(E55:E71)</f>
        <v>100</v>
      </c>
      <c r="F72" s="422">
        <v>44222</v>
      </c>
      <c r="G72" s="413">
        <f>SUM(G55:G71)</f>
        <v>100.00000000000001</v>
      </c>
      <c r="H72" s="422">
        <v>42794</v>
      </c>
      <c r="I72" s="413">
        <f>SUM(I55:I71)</f>
        <v>100</v>
      </c>
      <c r="J72" s="422">
        <v>41005</v>
      </c>
      <c r="K72" s="414">
        <f>SUM(K55:K71)</f>
        <v>100</v>
      </c>
    </row>
    <row r="73" spans="1:11" ht="15" customHeight="1">
      <c r="A73" s="419" t="s">
        <v>209</v>
      </c>
      <c r="B73" s="57"/>
      <c r="C73" s="57"/>
      <c r="D73" s="59"/>
      <c r="E73" s="59"/>
      <c r="F73" s="423"/>
      <c r="G73" s="423"/>
      <c r="H73" s="423"/>
      <c r="I73" s="423"/>
      <c r="J73" s="423"/>
      <c r="K73" s="423"/>
    </row>
    <row r="74" spans="1:11" ht="12.75" customHeight="1">
      <c r="A74" s="52" t="s">
        <v>205</v>
      </c>
      <c r="B74"/>
      <c r="C74"/>
      <c r="D74" s="3"/>
      <c r="E74" s="3"/>
      <c r="F74" s="39"/>
      <c r="G74" s="39"/>
      <c r="H74" s="39"/>
      <c r="I74" s="39"/>
      <c r="J74" s="39"/>
      <c r="K74" s="39"/>
    </row>
    <row r="75" spans="1:11" ht="15">
      <c r="A75"/>
      <c r="B75"/>
      <c r="C75"/>
      <c r="D75" s="9"/>
      <c r="E75" s="39"/>
      <c r="F75" s="39"/>
      <c r="G75" s="39"/>
      <c r="H75" s="39"/>
      <c r="I75" s="39"/>
      <c r="J75" s="39"/>
      <c r="K75" s="39"/>
    </row>
    <row r="76" spans="1:4" ht="15">
      <c r="A76"/>
      <c r="B76"/>
      <c r="C76"/>
      <c r="D76" s="39"/>
    </row>
  </sheetData>
  <sheetProtection/>
  <mergeCells count="25">
    <mergeCell ref="A1:K1"/>
    <mergeCell ref="A2:K2"/>
    <mergeCell ref="A3:K3"/>
    <mergeCell ref="A4:K4"/>
    <mergeCell ref="A6:K6"/>
    <mergeCell ref="J7:K7"/>
    <mergeCell ref="A29:K29"/>
    <mergeCell ref="A30:A31"/>
    <mergeCell ref="B30:C30"/>
    <mergeCell ref="D30:E30"/>
    <mergeCell ref="F30:G30"/>
    <mergeCell ref="H30:I30"/>
    <mergeCell ref="J30:K30"/>
    <mergeCell ref="A7:A8"/>
    <mergeCell ref="B7:C7"/>
    <mergeCell ref="D7:E7"/>
    <mergeCell ref="F7:G7"/>
    <mergeCell ref="H7:I7"/>
    <mergeCell ref="A52:K52"/>
    <mergeCell ref="A53:A54"/>
    <mergeCell ref="B53:C53"/>
    <mergeCell ref="D53:E53"/>
    <mergeCell ref="F53:G53"/>
    <mergeCell ref="H53:I53"/>
    <mergeCell ref="J53:K53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N20" sqref="N20"/>
    </sheetView>
  </sheetViews>
  <sheetFormatPr defaultColWidth="9.140625" defaultRowHeight="12.75"/>
  <sheetData>
    <row r="1" spans="1:4" ht="18">
      <c r="A1" s="765" t="s">
        <v>462</v>
      </c>
      <c r="B1" s="765"/>
      <c r="C1" s="765"/>
      <c r="D1" s="765"/>
    </row>
    <row r="4" spans="1:16" ht="13.5" thickBot="1">
      <c r="A4" s="633"/>
      <c r="P4" s="633"/>
    </row>
    <row r="5" spans="1:16" ht="13.5" thickBot="1">
      <c r="A5" s="634" t="s">
        <v>434</v>
      </c>
      <c r="B5" s="635">
        <v>2001</v>
      </c>
      <c r="C5" s="635">
        <v>2002</v>
      </c>
      <c r="D5" s="635">
        <v>2003</v>
      </c>
      <c r="E5" s="635">
        <v>2004</v>
      </c>
      <c r="F5" s="635">
        <v>2005</v>
      </c>
      <c r="G5" s="635">
        <v>2006</v>
      </c>
      <c r="H5" s="635">
        <v>2007</v>
      </c>
      <c r="I5" s="635">
        <v>2008</v>
      </c>
      <c r="J5" s="635">
        <v>2009</v>
      </c>
      <c r="K5" s="635">
        <v>2010</v>
      </c>
      <c r="L5" s="635">
        <v>2011</v>
      </c>
      <c r="M5" s="635">
        <v>2012</v>
      </c>
      <c r="N5" s="636">
        <v>2013</v>
      </c>
      <c r="O5" s="637">
        <v>2014</v>
      </c>
      <c r="P5" s="638">
        <v>2015</v>
      </c>
    </row>
    <row r="6" spans="1:16" ht="13.5" thickBot="1">
      <c r="A6" s="639" t="s">
        <v>435</v>
      </c>
      <c r="B6" s="640">
        <v>22.5</v>
      </c>
      <c r="C6" s="640">
        <v>37.9</v>
      </c>
      <c r="D6" s="640">
        <v>20.1</v>
      </c>
      <c r="E6" s="640">
        <v>31.7</v>
      </c>
      <c r="F6" s="640">
        <v>23.8</v>
      </c>
      <c r="G6" s="641">
        <v>33</v>
      </c>
      <c r="H6" s="642">
        <v>25.1</v>
      </c>
      <c r="I6" s="643">
        <v>35.5</v>
      </c>
      <c r="J6" s="643">
        <v>28.8</v>
      </c>
      <c r="K6" s="643">
        <v>36.8</v>
      </c>
      <c r="L6" s="643">
        <v>32.2</v>
      </c>
      <c r="M6" s="643">
        <v>38.3</v>
      </c>
      <c r="N6" s="644">
        <v>38.3</v>
      </c>
      <c r="O6" s="644">
        <v>32.3</v>
      </c>
      <c r="P6" s="644">
        <v>31.3</v>
      </c>
    </row>
    <row r="7" spans="1:16" ht="13.5" thickBot="1">
      <c r="A7" s="639" t="s">
        <v>436</v>
      </c>
      <c r="B7" s="640">
        <v>8.8</v>
      </c>
      <c r="C7" s="640">
        <v>10.5</v>
      </c>
      <c r="D7" s="640">
        <v>8.7</v>
      </c>
      <c r="E7" s="640">
        <v>7.5</v>
      </c>
      <c r="F7" s="640">
        <v>9.1</v>
      </c>
      <c r="G7" s="641">
        <v>9.5</v>
      </c>
      <c r="H7" s="642">
        <v>10.9</v>
      </c>
      <c r="I7" s="643">
        <v>10.5</v>
      </c>
      <c r="J7" s="643">
        <v>10.6</v>
      </c>
      <c r="K7" s="643">
        <v>11.2</v>
      </c>
      <c r="L7" s="643">
        <v>11.3</v>
      </c>
      <c r="M7" s="643">
        <v>12.5</v>
      </c>
      <c r="N7" s="644">
        <v>10.9</v>
      </c>
      <c r="O7" s="644">
        <v>13</v>
      </c>
      <c r="P7" s="644">
        <v>10.8</v>
      </c>
    </row>
    <row r="8" spans="1:16" ht="13.5" thickBot="1">
      <c r="A8" s="645" t="s">
        <v>120</v>
      </c>
      <c r="B8" s="646">
        <f aca="true" t="shared" si="0" ref="B8:O8">SUM(B6:B7)</f>
        <v>31.3</v>
      </c>
      <c r="C8" s="646">
        <f t="shared" si="0"/>
        <v>48.4</v>
      </c>
      <c r="D8" s="646">
        <f t="shared" si="0"/>
        <v>28.8</v>
      </c>
      <c r="E8" s="646">
        <f t="shared" si="0"/>
        <v>39.2</v>
      </c>
      <c r="F8" s="646">
        <f t="shared" si="0"/>
        <v>32.9</v>
      </c>
      <c r="G8" s="646">
        <f t="shared" si="0"/>
        <v>42.5</v>
      </c>
      <c r="H8" s="646">
        <f t="shared" si="0"/>
        <v>36</v>
      </c>
      <c r="I8" s="647">
        <f t="shared" si="0"/>
        <v>46</v>
      </c>
      <c r="J8" s="647">
        <f t="shared" si="0"/>
        <v>39.4</v>
      </c>
      <c r="K8" s="647">
        <f t="shared" si="0"/>
        <v>48</v>
      </c>
      <c r="L8" s="647">
        <f t="shared" si="0"/>
        <v>43.5</v>
      </c>
      <c r="M8" s="647">
        <f t="shared" si="0"/>
        <v>50.8</v>
      </c>
      <c r="N8" s="647">
        <f t="shared" si="0"/>
        <v>49.199999999999996</v>
      </c>
      <c r="O8" s="647">
        <f t="shared" si="0"/>
        <v>45.3</v>
      </c>
      <c r="P8" s="648">
        <v>44.2</v>
      </c>
    </row>
    <row r="9" spans="2:16" ht="12.75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36069.6</v>
      </c>
      <c r="I9">
        <v>45992.1</v>
      </c>
      <c r="J9">
        <v>39469.9</v>
      </c>
      <c r="K9">
        <v>48094.8</v>
      </c>
      <c r="L9">
        <v>43484.2</v>
      </c>
      <c r="M9">
        <v>50826.4</v>
      </c>
      <c r="N9">
        <v>49151.6</v>
      </c>
      <c r="O9">
        <v>45341.8</v>
      </c>
      <c r="P9">
        <v>44283.5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.7109375" style="0" customWidth="1"/>
    <col min="2" max="2" width="13.8515625" style="0" customWidth="1"/>
    <col min="3" max="3" width="101.7109375" style="0" customWidth="1"/>
    <col min="4" max="4" width="10.7109375" style="0" customWidth="1"/>
    <col min="5" max="5" width="2.7109375" style="0" customWidth="1"/>
  </cols>
  <sheetData>
    <row r="1" spans="1:5" ht="15" customHeight="1">
      <c r="A1" s="629"/>
      <c r="B1" s="629"/>
      <c r="C1" s="630"/>
      <c r="D1" s="629"/>
      <c r="E1" s="333"/>
    </row>
    <row r="2" spans="1:5" ht="18" customHeight="1">
      <c r="A2" s="631"/>
      <c r="B2" s="304"/>
      <c r="C2" s="305"/>
      <c r="D2" s="336"/>
      <c r="E2" s="333"/>
    </row>
    <row r="3" spans="1:5" ht="16.5" customHeight="1">
      <c r="A3" s="631"/>
      <c r="B3" s="615"/>
      <c r="C3" s="621"/>
      <c r="D3" s="146"/>
      <c r="E3" s="333"/>
    </row>
    <row r="4" spans="1:5" ht="18" customHeight="1">
      <c r="A4" s="631"/>
      <c r="B4" s="616"/>
      <c r="C4" s="622" t="s">
        <v>373</v>
      </c>
      <c r="D4" s="146"/>
      <c r="E4" s="333"/>
    </row>
    <row r="5" spans="1:5" ht="18" customHeight="1">
      <c r="A5" s="631"/>
      <c r="B5" s="190"/>
      <c r="C5" s="141" t="s">
        <v>384</v>
      </c>
      <c r="D5" s="146"/>
      <c r="E5" s="333"/>
    </row>
    <row r="6" spans="1:5" ht="18" customHeight="1">
      <c r="A6" s="631"/>
      <c r="B6" s="155"/>
      <c r="C6" s="150" t="s">
        <v>404</v>
      </c>
      <c r="D6" s="146"/>
      <c r="E6" s="333"/>
    </row>
    <row r="7" spans="1:5" ht="18" customHeight="1">
      <c r="A7" s="631"/>
      <c r="B7" s="617"/>
      <c r="C7" s="623" t="s">
        <v>405</v>
      </c>
      <c r="D7" s="146"/>
      <c r="E7" s="333"/>
    </row>
    <row r="8" spans="1:5" ht="18" customHeight="1">
      <c r="A8" s="631"/>
      <c r="B8" s="617"/>
      <c r="C8" s="623" t="s">
        <v>374</v>
      </c>
      <c r="D8" s="146"/>
      <c r="E8" s="333"/>
    </row>
    <row r="9" spans="1:5" ht="18" customHeight="1">
      <c r="A9" s="631"/>
      <c r="B9" s="617"/>
      <c r="C9" s="623" t="s">
        <v>408</v>
      </c>
      <c r="D9" s="146"/>
      <c r="E9" s="333"/>
    </row>
    <row r="10" spans="1:5" ht="18" customHeight="1">
      <c r="A10" s="631"/>
      <c r="B10" s="617"/>
      <c r="C10" s="623" t="s">
        <v>409</v>
      </c>
      <c r="D10" s="146"/>
      <c r="E10" s="333"/>
    </row>
    <row r="11" spans="1:5" ht="18" customHeight="1">
      <c r="A11" s="631"/>
      <c r="B11" s="617"/>
      <c r="C11" s="623" t="s">
        <v>410</v>
      </c>
      <c r="D11" s="146"/>
      <c r="E11" s="333"/>
    </row>
    <row r="12" spans="1:5" ht="18" customHeight="1">
      <c r="A12" s="631"/>
      <c r="B12" s="618"/>
      <c r="C12" s="624" t="s">
        <v>411</v>
      </c>
      <c r="D12" s="146"/>
      <c r="E12" s="333"/>
    </row>
    <row r="13" spans="1:5" ht="18" customHeight="1">
      <c r="A13" s="631"/>
      <c r="B13" s="618"/>
      <c r="C13" s="624" t="s">
        <v>412</v>
      </c>
      <c r="D13" s="146"/>
      <c r="E13" s="333"/>
    </row>
    <row r="14" spans="1:5" ht="18" customHeight="1">
      <c r="A14" s="631"/>
      <c r="B14" s="617"/>
      <c r="C14" s="623" t="s">
        <v>413</v>
      </c>
      <c r="D14" s="146"/>
      <c r="E14" s="333"/>
    </row>
    <row r="15" spans="1:5" ht="18" customHeight="1">
      <c r="A15" s="631"/>
      <c r="B15" s="617"/>
      <c r="C15" s="623" t="s">
        <v>414</v>
      </c>
      <c r="D15" s="146"/>
      <c r="E15" s="333"/>
    </row>
    <row r="16" spans="1:5" ht="18" customHeight="1">
      <c r="A16" s="631"/>
      <c r="B16" s="617"/>
      <c r="C16" s="623" t="s">
        <v>415</v>
      </c>
      <c r="D16" s="146"/>
      <c r="E16" s="333"/>
    </row>
    <row r="17" spans="1:5" ht="18" customHeight="1">
      <c r="A17" s="631"/>
      <c r="B17" s="617"/>
      <c r="C17" s="623" t="s">
        <v>416</v>
      </c>
      <c r="D17" s="146"/>
      <c r="E17" s="333"/>
    </row>
    <row r="18" spans="1:5" ht="18" customHeight="1">
      <c r="A18" s="631"/>
      <c r="B18" s="617"/>
      <c r="C18" s="623" t="s">
        <v>417</v>
      </c>
      <c r="D18" s="146"/>
      <c r="E18" s="333"/>
    </row>
    <row r="19" spans="1:5" ht="18" customHeight="1">
      <c r="A19" s="631"/>
      <c r="B19" s="617"/>
      <c r="C19" s="623" t="s">
        <v>418</v>
      </c>
      <c r="D19" s="146"/>
      <c r="E19" s="333"/>
    </row>
    <row r="20" spans="1:5" ht="18" customHeight="1">
      <c r="A20" s="631"/>
      <c r="B20" s="617"/>
      <c r="C20" s="623" t="s">
        <v>419</v>
      </c>
      <c r="D20" s="146"/>
      <c r="E20" s="333"/>
    </row>
    <row r="21" spans="1:5" ht="18" customHeight="1">
      <c r="A21" s="631"/>
      <c r="B21" s="617"/>
      <c r="C21" s="623" t="s">
        <v>420</v>
      </c>
      <c r="D21" s="146"/>
      <c r="E21" s="333"/>
    </row>
    <row r="22" spans="1:5" ht="18" customHeight="1">
      <c r="A22" s="631"/>
      <c r="B22" s="617"/>
      <c r="C22" s="623" t="s">
        <v>375</v>
      </c>
      <c r="D22" s="146"/>
      <c r="E22" s="333"/>
    </row>
    <row r="23" spans="1:5" ht="18" customHeight="1">
      <c r="A23" s="631"/>
      <c r="B23" s="617"/>
      <c r="C23" s="623" t="s">
        <v>430</v>
      </c>
      <c r="D23" s="146"/>
      <c r="E23" s="333"/>
    </row>
    <row r="24" spans="1:5" ht="18" customHeight="1">
      <c r="A24" s="631"/>
      <c r="B24" s="617"/>
      <c r="C24" s="623" t="s">
        <v>431</v>
      </c>
      <c r="D24" s="146"/>
      <c r="E24" s="333"/>
    </row>
    <row r="25" spans="1:5" ht="18" customHeight="1">
      <c r="A25" s="631"/>
      <c r="B25" s="619"/>
      <c r="C25" s="625" t="s">
        <v>376</v>
      </c>
      <c r="D25" s="146"/>
      <c r="E25" s="333"/>
    </row>
    <row r="26" spans="1:5" ht="18" customHeight="1">
      <c r="A26" s="631"/>
      <c r="B26" s="620"/>
      <c r="C26" s="626"/>
      <c r="D26" s="146"/>
      <c r="E26" s="333"/>
    </row>
    <row r="27" spans="1:5" ht="18" customHeight="1">
      <c r="A27" s="631"/>
      <c r="B27" s="627"/>
      <c r="C27" s="628"/>
      <c r="D27" s="147"/>
      <c r="E27" s="333"/>
    </row>
    <row r="28" spans="1:5" ht="15" customHeight="1">
      <c r="A28" s="333"/>
      <c r="B28" s="333"/>
      <c r="C28" s="333"/>
      <c r="D28" s="333"/>
      <c r="E28" s="333"/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12.57421875" style="0" customWidth="1"/>
    <col min="4" max="4" width="8.8515625" style="0" bestFit="1" customWidth="1"/>
    <col min="5" max="5" width="6.7109375" style="0" customWidth="1"/>
    <col min="6" max="6" width="7.421875" style="0" bestFit="1" customWidth="1"/>
    <col min="7" max="7" width="6.7109375" style="0" bestFit="1" customWidth="1"/>
    <col min="8" max="8" width="8.8515625" style="0" bestFit="1" customWidth="1"/>
    <col min="9" max="9" width="6.7109375" style="0" customWidth="1"/>
    <col min="10" max="10" width="1.7109375" style="0" customWidth="1"/>
    <col min="11" max="11" width="12.8515625" style="0" customWidth="1"/>
    <col min="12" max="12" width="7.7109375" style="0" bestFit="1" customWidth="1"/>
    <col min="13" max="13" width="5.421875" style="0" bestFit="1" customWidth="1"/>
    <col min="14" max="14" width="7.57421875" style="0" bestFit="1" customWidth="1"/>
    <col min="15" max="15" width="1.7109375" style="0" customWidth="1"/>
    <col min="16" max="16" width="12.8515625" style="0" customWidth="1"/>
    <col min="17" max="17" width="8.8515625" style="0" customWidth="1"/>
    <col min="18" max="18" width="6.7109375" style="0" bestFit="1" customWidth="1"/>
    <col min="19" max="19" width="7.7109375" style="0" customWidth="1"/>
    <col min="20" max="20" width="2.28125" style="0" customWidth="1"/>
    <col min="21" max="21" width="2.7109375" style="0" customWidth="1"/>
    <col min="22" max="22" width="8.8515625" style="0" bestFit="1" customWidth="1"/>
  </cols>
  <sheetData>
    <row r="1" spans="1:21" ht="16.5" customHeight="1">
      <c r="A1" s="69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69"/>
    </row>
    <row r="2" spans="1:21" ht="13.5" customHeight="1">
      <c r="A2" s="71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70"/>
    </row>
    <row r="3" spans="1:21" ht="16.5" customHeight="1">
      <c r="A3" s="74"/>
      <c r="B3" s="755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7"/>
      <c r="U3" s="70"/>
    </row>
    <row r="4" spans="1:21" ht="14.25" customHeight="1">
      <c r="A4" s="74"/>
      <c r="B4" s="867" t="s">
        <v>382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9"/>
      <c r="U4" s="70"/>
    </row>
    <row r="5" spans="1:21" ht="16.5" customHeight="1">
      <c r="A5" s="74"/>
      <c r="B5" s="142"/>
      <c r="C5" s="114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9"/>
      <c r="U5" s="71"/>
    </row>
    <row r="6" spans="1:21" ht="16.5" customHeight="1">
      <c r="A6" s="74"/>
      <c r="B6" s="113"/>
      <c r="C6" s="871" t="s">
        <v>247</v>
      </c>
      <c r="D6" s="871"/>
      <c r="E6" s="871"/>
      <c r="F6" s="871"/>
      <c r="G6" s="871"/>
      <c r="H6" s="871"/>
      <c r="I6" s="871"/>
      <c r="J6" s="115"/>
      <c r="K6" s="871" t="s">
        <v>381</v>
      </c>
      <c r="L6" s="871"/>
      <c r="M6" s="871"/>
      <c r="N6" s="871"/>
      <c r="O6" s="758"/>
      <c r="P6" s="871" t="s">
        <v>381</v>
      </c>
      <c r="Q6" s="871"/>
      <c r="R6" s="871"/>
      <c r="S6" s="871"/>
      <c r="T6" s="116"/>
      <c r="U6" s="71"/>
    </row>
    <row r="7" spans="1:21" ht="29.25" customHeight="1" thickBot="1">
      <c r="A7" s="74"/>
      <c r="B7" s="117"/>
      <c r="C7" s="870" t="s">
        <v>304</v>
      </c>
      <c r="D7" s="870"/>
      <c r="E7" s="870"/>
      <c r="F7" s="870"/>
      <c r="G7" s="870"/>
      <c r="H7" s="870"/>
      <c r="I7" s="870"/>
      <c r="J7" s="115"/>
      <c r="K7" s="870" t="s">
        <v>249</v>
      </c>
      <c r="L7" s="870"/>
      <c r="M7" s="870"/>
      <c r="N7" s="870"/>
      <c r="O7" s="326"/>
      <c r="P7" s="870" t="s">
        <v>497</v>
      </c>
      <c r="Q7" s="870"/>
      <c r="R7" s="870"/>
      <c r="S7" s="870"/>
      <c r="T7" s="118"/>
      <c r="U7" s="71"/>
    </row>
    <row r="8" spans="1:21" ht="27.75" customHeight="1" thickBot="1">
      <c r="A8" s="74"/>
      <c r="B8" s="117"/>
      <c r="C8" s="431" t="s">
        <v>17</v>
      </c>
      <c r="D8" s="430" t="s">
        <v>18</v>
      </c>
      <c r="E8" s="432" t="s">
        <v>14</v>
      </c>
      <c r="F8" s="433" t="s">
        <v>378</v>
      </c>
      <c r="G8" s="431" t="s">
        <v>14</v>
      </c>
      <c r="H8" s="433" t="s">
        <v>19</v>
      </c>
      <c r="I8" s="434" t="s">
        <v>14</v>
      </c>
      <c r="J8" s="435"/>
      <c r="K8" s="431" t="s">
        <v>226</v>
      </c>
      <c r="L8" s="433" t="s">
        <v>380</v>
      </c>
      <c r="M8" s="433" t="s">
        <v>14</v>
      </c>
      <c r="N8" s="436" t="s">
        <v>379</v>
      </c>
      <c r="O8" s="435"/>
      <c r="P8" s="431" t="s">
        <v>226</v>
      </c>
      <c r="Q8" s="433" t="s">
        <v>380</v>
      </c>
      <c r="R8" s="433" t="s">
        <v>14</v>
      </c>
      <c r="S8" s="436" t="s">
        <v>379</v>
      </c>
      <c r="T8" s="760"/>
      <c r="U8" s="71"/>
    </row>
    <row r="9" spans="1:21" ht="18" customHeight="1">
      <c r="A9" s="74"/>
      <c r="B9" s="117"/>
      <c r="C9" s="315" t="s">
        <v>0</v>
      </c>
      <c r="D9" s="316">
        <v>45.3</v>
      </c>
      <c r="E9" s="245">
        <f>(D9/D25)*100</f>
        <v>32.12765957446808</v>
      </c>
      <c r="F9" s="316">
        <v>36.7</v>
      </c>
      <c r="G9" s="245">
        <f>(F9/F25)*100</f>
        <v>32.19298245614035</v>
      </c>
      <c r="H9" s="316">
        <v>21</v>
      </c>
      <c r="I9" s="250">
        <f>(H9/H25)*100</f>
        <v>46.666666666666664</v>
      </c>
      <c r="J9" s="120"/>
      <c r="K9" s="322" t="s">
        <v>2</v>
      </c>
      <c r="L9" s="251">
        <v>7290</v>
      </c>
      <c r="M9" s="251">
        <f aca="true" t="shared" si="0" ref="M9:M25">(L9/$L$25)*100</f>
        <v>19.844834626378113</v>
      </c>
      <c r="N9" s="323">
        <v>1299</v>
      </c>
      <c r="O9" s="327"/>
      <c r="P9" s="860" t="s">
        <v>2</v>
      </c>
      <c r="Q9" s="330">
        <v>6110.5</v>
      </c>
      <c r="R9" s="316">
        <f aca="true" t="shared" si="1" ref="R9:R25">(Q9/$Q$25)*100</f>
        <v>20.066598579361667</v>
      </c>
      <c r="S9" s="330">
        <v>1064.7</v>
      </c>
      <c r="T9" s="121"/>
      <c r="U9" s="71"/>
    </row>
    <row r="10" spans="1:21" ht="18" customHeight="1">
      <c r="A10" s="74"/>
      <c r="B10" s="117"/>
      <c r="C10" s="317" t="s">
        <v>189</v>
      </c>
      <c r="D10" s="316">
        <v>26</v>
      </c>
      <c r="E10" s="245">
        <f>(D10/D25)*100</f>
        <v>18.439716312056735</v>
      </c>
      <c r="F10" s="318">
        <v>18</v>
      </c>
      <c r="G10" s="245">
        <f>(F10/F25)*100</f>
        <v>15.789473684210526</v>
      </c>
      <c r="H10" s="318">
        <v>3.6</v>
      </c>
      <c r="I10" s="250">
        <f>(H10/H25)*100</f>
        <v>8</v>
      </c>
      <c r="J10" s="120"/>
      <c r="K10" s="322" t="s">
        <v>213</v>
      </c>
      <c r="L10" s="251">
        <v>6756</v>
      </c>
      <c r="M10" s="251">
        <f t="shared" si="0"/>
        <v>18.391180073499388</v>
      </c>
      <c r="N10" s="323">
        <v>1295</v>
      </c>
      <c r="O10" s="327"/>
      <c r="P10" s="861" t="s">
        <v>213</v>
      </c>
      <c r="Q10" s="330">
        <v>5355.8</v>
      </c>
      <c r="R10" s="316">
        <f t="shared" si="1"/>
        <v>17.588198784280372</v>
      </c>
      <c r="S10" s="330">
        <v>941.9</v>
      </c>
      <c r="T10" s="123"/>
      <c r="U10" s="71"/>
    </row>
    <row r="11" spans="1:21" ht="18" customHeight="1">
      <c r="A11" s="74"/>
      <c r="B11" s="117"/>
      <c r="C11" s="315" t="s">
        <v>190</v>
      </c>
      <c r="D11" s="316">
        <v>12.1</v>
      </c>
      <c r="E11" s="245">
        <f>(D11/D25)*100</f>
        <v>8.581560283687944</v>
      </c>
      <c r="F11" s="318">
        <v>11</v>
      </c>
      <c r="G11" s="245">
        <f>(F11/F25)*100</f>
        <v>9.649122807017543</v>
      </c>
      <c r="H11" s="318">
        <v>3.4</v>
      </c>
      <c r="I11" s="250">
        <f>(H11/H25)*100</f>
        <v>7.555555555555555</v>
      </c>
      <c r="J11" s="120"/>
      <c r="K11" s="322" t="s">
        <v>215</v>
      </c>
      <c r="L11" s="251">
        <v>2992</v>
      </c>
      <c r="M11" s="251">
        <f t="shared" si="0"/>
        <v>8.144821015380426</v>
      </c>
      <c r="N11" s="323">
        <v>548</v>
      </c>
      <c r="O11" s="327"/>
      <c r="P11" s="861" t="s">
        <v>216</v>
      </c>
      <c r="Q11" s="330">
        <v>1997.7</v>
      </c>
      <c r="R11" s="316">
        <f t="shared" si="1"/>
        <v>6.560354141558106</v>
      </c>
      <c r="S11" s="330">
        <v>397.1</v>
      </c>
      <c r="T11" s="123"/>
      <c r="U11" s="71"/>
    </row>
    <row r="12" spans="1:21" ht="18" customHeight="1">
      <c r="A12" s="74"/>
      <c r="B12" s="117"/>
      <c r="C12" s="315" t="s">
        <v>191</v>
      </c>
      <c r="D12" s="316">
        <v>9</v>
      </c>
      <c r="E12" s="245">
        <f>(D12/D25)*100</f>
        <v>6.382978723404255</v>
      </c>
      <c r="F12" s="318">
        <v>10.9</v>
      </c>
      <c r="G12" s="245">
        <f>(F12/F25)*100</f>
        <v>9.56140350877193</v>
      </c>
      <c r="H12" s="318">
        <v>2.3</v>
      </c>
      <c r="I12" s="250">
        <f>(H12/H25)*100</f>
        <v>5.111111111111111</v>
      </c>
      <c r="J12" s="120"/>
      <c r="K12" s="322" t="s">
        <v>214</v>
      </c>
      <c r="L12" s="251">
        <v>2757</v>
      </c>
      <c r="M12" s="251">
        <f t="shared" si="0"/>
        <v>7.505104124132298</v>
      </c>
      <c r="N12" s="323">
        <v>550</v>
      </c>
      <c r="O12" s="327"/>
      <c r="P12" s="861" t="s">
        <v>215</v>
      </c>
      <c r="Q12" s="330">
        <v>1905.6</v>
      </c>
      <c r="R12" s="316">
        <f t="shared" si="1"/>
        <v>6.257902013391963</v>
      </c>
      <c r="S12" s="330">
        <v>346.4</v>
      </c>
      <c r="T12" s="123"/>
      <c r="U12" s="71"/>
    </row>
    <row r="13" spans="1:21" ht="18" customHeight="1">
      <c r="A13" s="74"/>
      <c r="B13" s="117"/>
      <c r="C13" s="315" t="s">
        <v>192</v>
      </c>
      <c r="D13" s="316">
        <v>6</v>
      </c>
      <c r="E13" s="245">
        <f>(D13/D25)*100</f>
        <v>4.25531914893617</v>
      </c>
      <c r="F13" s="318">
        <v>5</v>
      </c>
      <c r="G13" s="245">
        <f>(F13/F25)*100</f>
        <v>4.385964912280701</v>
      </c>
      <c r="H13" s="318">
        <v>1.9</v>
      </c>
      <c r="I13" s="250">
        <f>(H13/H25)*100</f>
        <v>4.222222222222222</v>
      </c>
      <c r="J13" s="120"/>
      <c r="K13" s="322" t="s">
        <v>216</v>
      </c>
      <c r="L13" s="251">
        <v>2723</v>
      </c>
      <c r="M13" s="251">
        <f t="shared" si="0"/>
        <v>7.4125493398666125</v>
      </c>
      <c r="N13" s="323">
        <v>547</v>
      </c>
      <c r="O13" s="327"/>
      <c r="P13" s="861" t="s">
        <v>214</v>
      </c>
      <c r="Q13" s="330">
        <v>1524.2</v>
      </c>
      <c r="R13" s="316">
        <f t="shared" si="1"/>
        <v>5.005402103700687</v>
      </c>
      <c r="S13" s="330">
        <v>304.4</v>
      </c>
      <c r="T13" s="123"/>
      <c r="U13" s="71"/>
    </row>
    <row r="14" spans="1:21" ht="18" customHeight="1">
      <c r="A14" s="74"/>
      <c r="B14" s="117"/>
      <c r="C14" s="315" t="s">
        <v>193</v>
      </c>
      <c r="D14" s="316">
        <v>5</v>
      </c>
      <c r="E14" s="245">
        <f>(D14/D25)*100</f>
        <v>3.546099290780142</v>
      </c>
      <c r="F14" s="316">
        <v>4</v>
      </c>
      <c r="G14" s="245">
        <f>(F14/F25)*100</f>
        <v>3.508771929824561</v>
      </c>
      <c r="H14" s="318">
        <v>1.6</v>
      </c>
      <c r="I14" s="250">
        <f>(H14/H25)*100</f>
        <v>3.5555555555555554</v>
      </c>
      <c r="J14" s="120"/>
      <c r="K14" s="322" t="s">
        <v>217</v>
      </c>
      <c r="L14" s="251">
        <v>1000</v>
      </c>
      <c r="M14" s="251">
        <f t="shared" si="0"/>
        <v>2.7221995372260785</v>
      </c>
      <c r="N14" s="323">
        <v>168</v>
      </c>
      <c r="O14" s="327"/>
      <c r="P14" s="861" t="s">
        <v>495</v>
      </c>
      <c r="Q14" s="330">
        <v>1056.3</v>
      </c>
      <c r="R14" s="316">
        <f t="shared" si="1"/>
        <v>3.468840206100929</v>
      </c>
      <c r="S14" s="330">
        <v>60.9</v>
      </c>
      <c r="T14" s="123"/>
      <c r="U14" s="71"/>
    </row>
    <row r="15" spans="1:22" ht="18" customHeight="1">
      <c r="A15" s="74"/>
      <c r="B15" s="117"/>
      <c r="C15" s="315" t="s">
        <v>194</v>
      </c>
      <c r="D15" s="316">
        <v>4.2</v>
      </c>
      <c r="E15" s="245">
        <f>(D15/D25)*100</f>
        <v>2.9787234042553195</v>
      </c>
      <c r="F15" s="318">
        <v>3.6</v>
      </c>
      <c r="G15" s="245">
        <f>(F15/F25)*100</f>
        <v>3.1578947368421053</v>
      </c>
      <c r="H15" s="318">
        <v>1.4</v>
      </c>
      <c r="I15" s="250">
        <f>(H15/H25)*100</f>
        <v>3.111111111111111</v>
      </c>
      <c r="J15" s="120"/>
      <c r="K15" s="322" t="s">
        <v>218</v>
      </c>
      <c r="L15" s="251">
        <v>853</v>
      </c>
      <c r="M15" s="251">
        <f t="shared" si="0"/>
        <v>2.3220362052538452</v>
      </c>
      <c r="N15" s="323">
        <v>165</v>
      </c>
      <c r="O15" s="327"/>
      <c r="P15" s="861" t="s">
        <v>496</v>
      </c>
      <c r="Q15" s="330">
        <v>915.5</v>
      </c>
      <c r="R15" s="316">
        <f t="shared" si="1"/>
        <v>3.0064595367655027</v>
      </c>
      <c r="S15" s="330">
        <v>67</v>
      </c>
      <c r="T15" s="123"/>
      <c r="U15" s="71"/>
      <c r="V15" s="61"/>
    </row>
    <row r="16" spans="1:22" ht="18" customHeight="1">
      <c r="A16" s="74"/>
      <c r="B16" s="117"/>
      <c r="C16" s="315" t="s">
        <v>195</v>
      </c>
      <c r="D16" s="316">
        <v>4</v>
      </c>
      <c r="E16" s="245">
        <f>(D16/D25)*100</f>
        <v>2.8368794326241136</v>
      </c>
      <c r="F16" s="316">
        <v>3.5</v>
      </c>
      <c r="G16" s="245">
        <f>(F16/F25)*100</f>
        <v>3.070175438596491</v>
      </c>
      <c r="H16" s="316">
        <v>0.3</v>
      </c>
      <c r="I16" s="250">
        <f>(H16/H25)*100</f>
        <v>0.6666666666666666</v>
      </c>
      <c r="J16" s="120"/>
      <c r="K16" s="322" t="s">
        <v>222</v>
      </c>
      <c r="L16" s="251">
        <v>825</v>
      </c>
      <c r="M16" s="251">
        <f t="shared" si="0"/>
        <v>2.2458146182115146</v>
      </c>
      <c r="N16" s="323">
        <v>151</v>
      </c>
      <c r="O16" s="327"/>
      <c r="P16" s="861" t="s">
        <v>219</v>
      </c>
      <c r="Q16" s="330">
        <v>900.9</v>
      </c>
      <c r="R16" s="316">
        <f t="shared" si="1"/>
        <v>2.958513813950892</v>
      </c>
      <c r="S16" s="330">
        <v>147.3</v>
      </c>
      <c r="T16" s="123"/>
      <c r="U16" s="71"/>
      <c r="V16" s="61"/>
    </row>
    <row r="17" spans="1:22" ht="18" customHeight="1">
      <c r="A17" s="74"/>
      <c r="B17" s="124"/>
      <c r="C17" s="315" t="s">
        <v>196</v>
      </c>
      <c r="D17" s="316">
        <v>3.5</v>
      </c>
      <c r="E17" s="245">
        <f>(D17/D25)*100</f>
        <v>2.4822695035460995</v>
      </c>
      <c r="F17" s="318">
        <v>3.4</v>
      </c>
      <c r="G17" s="245">
        <f>(F17/F25)*100</f>
        <v>2.982456140350877</v>
      </c>
      <c r="H17" s="318">
        <v>0.3</v>
      </c>
      <c r="I17" s="250">
        <f>(H17/H25)*100</f>
        <v>0.6666666666666666</v>
      </c>
      <c r="J17" s="120"/>
      <c r="K17" s="322" t="s">
        <v>224</v>
      </c>
      <c r="L17" s="251">
        <v>818</v>
      </c>
      <c r="M17" s="251">
        <f t="shared" si="0"/>
        <v>2.226759221450932</v>
      </c>
      <c r="N17" s="323">
        <v>105</v>
      </c>
      <c r="O17" s="327"/>
      <c r="P17" s="861" t="s">
        <v>221</v>
      </c>
      <c r="Q17" s="330">
        <v>660.8</v>
      </c>
      <c r="R17" s="316">
        <f t="shared" si="1"/>
        <v>2.170036550403762</v>
      </c>
      <c r="S17" s="330">
        <v>96.6</v>
      </c>
      <c r="T17" s="125"/>
      <c r="U17" s="71"/>
      <c r="V17" s="61"/>
    </row>
    <row r="18" spans="1:22" ht="18" customHeight="1">
      <c r="A18" s="74"/>
      <c r="B18" s="124"/>
      <c r="C18" s="315" t="s">
        <v>197</v>
      </c>
      <c r="D18" s="316">
        <v>3.5</v>
      </c>
      <c r="E18" s="245">
        <f>(D18/D25)*100</f>
        <v>2.4822695035460995</v>
      </c>
      <c r="F18" s="318">
        <v>3</v>
      </c>
      <c r="G18" s="245">
        <f>(F18/F25)*100</f>
        <v>2.631578947368421</v>
      </c>
      <c r="H18" s="318">
        <v>0.3</v>
      </c>
      <c r="I18" s="250">
        <f>(H18/H25)*100</f>
        <v>0.6666666666666666</v>
      </c>
      <c r="J18" s="120"/>
      <c r="K18" s="322" t="s">
        <v>219</v>
      </c>
      <c r="L18" s="251">
        <v>783</v>
      </c>
      <c r="M18" s="251">
        <f t="shared" si="0"/>
        <v>2.1314822376480196</v>
      </c>
      <c r="N18" s="323">
        <v>145</v>
      </c>
      <c r="O18" s="327"/>
      <c r="P18" s="861" t="s">
        <v>218</v>
      </c>
      <c r="Q18" s="330">
        <v>657.6</v>
      </c>
      <c r="R18" s="316">
        <f t="shared" si="1"/>
        <v>2.159527898827957</v>
      </c>
      <c r="S18" s="330">
        <v>133.9</v>
      </c>
      <c r="T18" s="125"/>
      <c r="U18" s="70"/>
      <c r="V18" s="61"/>
    </row>
    <row r="19" spans="1:22" ht="18" customHeight="1">
      <c r="A19" s="74"/>
      <c r="B19" s="124"/>
      <c r="C19" s="315" t="s">
        <v>198</v>
      </c>
      <c r="D19" s="316">
        <v>3</v>
      </c>
      <c r="E19" s="245">
        <f>(D19/D25)*100</f>
        <v>2.127659574468085</v>
      </c>
      <c r="F19" s="318">
        <v>2.6</v>
      </c>
      <c r="G19" s="245">
        <f>(F19/F25)*100</f>
        <v>2.280701754385965</v>
      </c>
      <c r="H19" s="318">
        <v>0.3</v>
      </c>
      <c r="I19" s="250">
        <f>(H19/H25)*100</f>
        <v>0.6666666666666666</v>
      </c>
      <c r="J19" s="120"/>
      <c r="K19" s="322" t="s">
        <v>196</v>
      </c>
      <c r="L19" s="251">
        <v>722</v>
      </c>
      <c r="M19" s="251">
        <f t="shared" si="0"/>
        <v>1.9654280658772287</v>
      </c>
      <c r="N19" s="323">
        <v>107</v>
      </c>
      <c r="O19" s="327"/>
      <c r="P19" s="861" t="s">
        <v>196</v>
      </c>
      <c r="Q19" s="330">
        <v>625.3</v>
      </c>
      <c r="R19" s="316">
        <f t="shared" si="1"/>
        <v>2.0534561969846736</v>
      </c>
      <c r="S19" s="330">
        <v>78.7</v>
      </c>
      <c r="T19" s="116"/>
      <c r="U19" s="70"/>
      <c r="V19" s="61"/>
    </row>
    <row r="20" spans="1:22" ht="18" customHeight="1">
      <c r="A20" s="74"/>
      <c r="B20" s="124"/>
      <c r="C20" s="315" t="s">
        <v>210</v>
      </c>
      <c r="D20" s="316">
        <v>2</v>
      </c>
      <c r="E20" s="245">
        <f>(D20/D25)*100</f>
        <v>1.4184397163120568</v>
      </c>
      <c r="F20" s="318">
        <v>1.9</v>
      </c>
      <c r="G20" s="245">
        <f>(F20/F25)*100</f>
        <v>1.6666666666666667</v>
      </c>
      <c r="H20" s="318">
        <v>0.2</v>
      </c>
      <c r="I20" s="250">
        <f>(H20/H25)*100</f>
        <v>0.4444444444444444</v>
      </c>
      <c r="J20" s="120"/>
      <c r="K20" s="322" t="s">
        <v>220</v>
      </c>
      <c r="L20" s="251">
        <v>634</v>
      </c>
      <c r="M20" s="251">
        <f t="shared" si="0"/>
        <v>1.725874506601334</v>
      </c>
      <c r="N20" s="323">
        <v>121</v>
      </c>
      <c r="O20" s="327"/>
      <c r="P20" s="861" t="s">
        <v>217</v>
      </c>
      <c r="Q20" s="330">
        <v>624.8</v>
      </c>
      <c r="R20" s="316">
        <f t="shared" si="1"/>
        <v>2.051814220175954</v>
      </c>
      <c r="S20" s="330">
        <v>107.9</v>
      </c>
      <c r="T20" s="116"/>
      <c r="U20" s="70"/>
      <c r="V20" s="61"/>
    </row>
    <row r="21" spans="1:22" ht="18" customHeight="1">
      <c r="A21" s="74"/>
      <c r="B21" s="124"/>
      <c r="C21" s="315" t="s">
        <v>200</v>
      </c>
      <c r="D21" s="316">
        <v>1.4</v>
      </c>
      <c r="E21" s="245">
        <f>(D21/D25)*100</f>
        <v>0.9929078014184396</v>
      </c>
      <c r="F21" s="318">
        <v>1.6</v>
      </c>
      <c r="G21" s="245">
        <f>(F21/F25)*100</f>
        <v>1.4035087719298245</v>
      </c>
      <c r="H21" s="318">
        <v>0.2</v>
      </c>
      <c r="I21" s="250">
        <f>(H21/H25)*100</f>
        <v>0.4444444444444444</v>
      </c>
      <c r="J21" s="120"/>
      <c r="K21" s="322" t="s">
        <v>221</v>
      </c>
      <c r="L21" s="251">
        <v>633</v>
      </c>
      <c r="M21" s="251">
        <f t="shared" si="0"/>
        <v>1.723152307064108</v>
      </c>
      <c r="N21" s="323">
        <v>93</v>
      </c>
      <c r="O21" s="327"/>
      <c r="P21" s="861" t="s">
        <v>329</v>
      </c>
      <c r="Q21" s="330">
        <v>617.7</v>
      </c>
      <c r="R21" s="316">
        <f t="shared" si="1"/>
        <v>2.028498149492137</v>
      </c>
      <c r="S21" s="330">
        <v>102.3</v>
      </c>
      <c r="T21" s="116"/>
      <c r="U21" s="70"/>
      <c r="V21" s="61"/>
    </row>
    <row r="22" spans="1:22" ht="18" customHeight="1">
      <c r="A22" s="74"/>
      <c r="B22" s="124"/>
      <c r="C22" s="315" t="s">
        <v>201</v>
      </c>
      <c r="D22" s="316">
        <v>1.3</v>
      </c>
      <c r="E22" s="245">
        <f>(D22/D25)*100</f>
        <v>0.921985815602837</v>
      </c>
      <c r="F22" s="316">
        <v>1.3</v>
      </c>
      <c r="G22" s="245">
        <f>(F22/F25)*100</f>
        <v>1.1403508771929824</v>
      </c>
      <c r="H22" s="318">
        <v>0.2</v>
      </c>
      <c r="I22" s="250">
        <f>(H22/H25)*100</f>
        <v>0.4444444444444444</v>
      </c>
      <c r="J22" s="120"/>
      <c r="K22" s="322" t="s">
        <v>225</v>
      </c>
      <c r="L22" s="251">
        <v>517</v>
      </c>
      <c r="M22" s="251">
        <f t="shared" si="0"/>
        <v>1.4073771607458827</v>
      </c>
      <c r="N22" s="323">
        <v>110</v>
      </c>
      <c r="O22" s="327"/>
      <c r="P22" s="861" t="s">
        <v>220</v>
      </c>
      <c r="Q22" s="330">
        <v>494.4</v>
      </c>
      <c r="R22" s="316">
        <f t="shared" si="1"/>
        <v>1.6235866684618947</v>
      </c>
      <c r="S22" s="330">
        <v>82.2</v>
      </c>
      <c r="T22" s="116"/>
      <c r="U22" s="70"/>
      <c r="V22" s="61"/>
    </row>
    <row r="23" spans="1:22" ht="18" customHeight="1">
      <c r="A23" s="74"/>
      <c r="B23" s="124"/>
      <c r="C23" s="315" t="s">
        <v>202</v>
      </c>
      <c r="D23" s="316">
        <v>0.8</v>
      </c>
      <c r="E23" s="245">
        <f>(D23/D25)*100</f>
        <v>0.5673758865248227</v>
      </c>
      <c r="F23" s="318">
        <v>1</v>
      </c>
      <c r="G23" s="245">
        <f>(F23/F25)*100</f>
        <v>0.8771929824561403</v>
      </c>
      <c r="H23" s="318">
        <v>0.1</v>
      </c>
      <c r="I23" s="250">
        <f>(H23/H25)*100</f>
        <v>0.2222222222222222</v>
      </c>
      <c r="J23" s="120"/>
      <c r="K23" s="322" t="s">
        <v>1</v>
      </c>
      <c r="L23" s="251">
        <v>235</v>
      </c>
      <c r="M23" s="251">
        <f t="shared" si="0"/>
        <v>0.6397168912481285</v>
      </c>
      <c r="N23" s="323">
        <v>33</v>
      </c>
      <c r="O23" s="327"/>
      <c r="P23" s="861" t="s">
        <v>344</v>
      </c>
      <c r="Q23" s="330">
        <v>465</v>
      </c>
      <c r="R23" s="316">
        <f t="shared" si="1"/>
        <v>1.527038432109185</v>
      </c>
      <c r="S23" s="330">
        <v>87.8</v>
      </c>
      <c r="T23" s="116"/>
      <c r="U23" s="70"/>
      <c r="V23" s="61"/>
    </row>
    <row r="24" spans="1:22" ht="19.5" customHeight="1" thickBot="1">
      <c r="A24" s="74"/>
      <c r="B24" s="124"/>
      <c r="C24" s="319" t="s">
        <v>211</v>
      </c>
      <c r="D24" s="320">
        <f>D25-SUM(D9:D23)</f>
        <v>13.900000000000006</v>
      </c>
      <c r="E24" s="246">
        <f>(D24/D25)*100</f>
        <v>9.858156028368798</v>
      </c>
      <c r="F24" s="320">
        <f>F25-SUM(F9:F23)</f>
        <v>6.5</v>
      </c>
      <c r="G24" s="246">
        <f>(F24/F25)*100</f>
        <v>5.701754385964912</v>
      </c>
      <c r="H24" s="320">
        <f>H25-SUM(H9:H23)</f>
        <v>7.899999999999999</v>
      </c>
      <c r="I24" s="321">
        <f>(H24/H25)*100</f>
        <v>17.555555555555554</v>
      </c>
      <c r="J24" s="120"/>
      <c r="K24" s="324" t="s">
        <v>16</v>
      </c>
      <c r="L24" s="252">
        <v>7197</v>
      </c>
      <c r="M24" s="252">
        <f t="shared" si="0"/>
        <v>19.59167006941609</v>
      </c>
      <c r="N24" s="325">
        <v>1225</v>
      </c>
      <c r="O24" s="327"/>
      <c r="P24" s="863" t="s">
        <v>16</v>
      </c>
      <c r="Q24" s="332">
        <v>6539</v>
      </c>
      <c r="R24" s="320">
        <f t="shared" si="1"/>
        <v>21.473772704434325</v>
      </c>
      <c r="S24" s="330">
        <v>1141</v>
      </c>
      <c r="T24" s="116"/>
      <c r="U24" s="70"/>
      <c r="V24" s="61"/>
    </row>
    <row r="25" spans="1:22" ht="18" customHeight="1" thickBot="1">
      <c r="A25" s="74"/>
      <c r="B25" s="124"/>
      <c r="C25" s="401" t="s">
        <v>120</v>
      </c>
      <c r="D25" s="402">
        <v>141</v>
      </c>
      <c r="E25" s="403">
        <f>SUM(E9:E24)</f>
        <v>100</v>
      </c>
      <c r="F25" s="402">
        <v>114</v>
      </c>
      <c r="G25" s="403">
        <f>SUM(G9:G24)</f>
        <v>100</v>
      </c>
      <c r="H25" s="404">
        <v>45</v>
      </c>
      <c r="I25" s="405">
        <f>SUM(I9:I24)</f>
        <v>100.00000000000003</v>
      </c>
      <c r="J25" s="126"/>
      <c r="K25" s="398" t="s">
        <v>120</v>
      </c>
      <c r="L25" s="406">
        <v>36735</v>
      </c>
      <c r="M25" s="407">
        <f t="shared" si="0"/>
        <v>100</v>
      </c>
      <c r="N25" s="400">
        <v>6662</v>
      </c>
      <c r="O25" s="761"/>
      <c r="P25" s="398" t="s">
        <v>120</v>
      </c>
      <c r="Q25" s="862">
        <f>SUM(Q9:Q24)</f>
        <v>30451.1</v>
      </c>
      <c r="R25" s="399">
        <f t="shared" si="1"/>
        <v>100</v>
      </c>
      <c r="S25" s="400">
        <f>SUM(S9:S24)</f>
        <v>5160.1</v>
      </c>
      <c r="T25" s="116"/>
      <c r="U25" s="70"/>
      <c r="V25" s="61"/>
    </row>
    <row r="26" spans="1:22" ht="16.5" customHeight="1">
      <c r="A26" s="70"/>
      <c r="B26" s="127"/>
      <c r="C26" s="762" t="s">
        <v>212</v>
      </c>
      <c r="D26" s="129"/>
      <c r="E26" s="129"/>
      <c r="F26" s="129"/>
      <c r="G26" s="129"/>
      <c r="H26" s="129"/>
      <c r="I26" s="129"/>
      <c r="J26" s="129"/>
      <c r="K26" s="763" t="s">
        <v>248</v>
      </c>
      <c r="L26" s="763"/>
      <c r="M26" s="763"/>
      <c r="N26" s="763"/>
      <c r="O26" s="764"/>
      <c r="P26" s="763" t="s">
        <v>248</v>
      </c>
      <c r="Q26" s="764"/>
      <c r="R26" s="764"/>
      <c r="S26" s="329">
        <f ca="1">NOW()</f>
        <v>42319.650697453704</v>
      </c>
      <c r="T26" s="147"/>
      <c r="U26" s="70"/>
      <c r="V26" s="61"/>
    </row>
    <row r="27" spans="1:22" ht="1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1"/>
    </row>
    <row r="28" ht="15">
      <c r="V28" s="61"/>
    </row>
    <row r="29" ht="15">
      <c r="V29" s="61"/>
    </row>
    <row r="30" ht="15">
      <c r="V30" s="61"/>
    </row>
  </sheetData>
  <sheetProtection/>
  <mergeCells count="7">
    <mergeCell ref="B4:T4"/>
    <mergeCell ref="K7:N7"/>
    <mergeCell ref="C6:I6"/>
    <mergeCell ref="C7:I7"/>
    <mergeCell ref="K6:N6"/>
    <mergeCell ref="P6:S6"/>
    <mergeCell ref="P7:S7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2" width="2.7109375" style="0" customWidth="1"/>
    <col min="3" max="3" width="10.57421875" style="0" customWidth="1"/>
    <col min="4" max="5" width="11.57421875" style="0" bestFit="1" customWidth="1"/>
    <col min="6" max="6" width="7.00390625" style="0" customWidth="1"/>
    <col min="7" max="8" width="8.7109375" style="0" bestFit="1" customWidth="1"/>
    <col min="9" max="9" width="7.57421875" style="0" bestFit="1" customWidth="1"/>
    <col min="10" max="10" width="2.7109375" style="0" customWidth="1"/>
    <col min="11" max="11" width="11.421875" style="0" bestFit="1" customWidth="1"/>
    <col min="12" max="12" width="10.140625" style="0" bestFit="1" customWidth="1"/>
    <col min="13" max="13" width="11.57421875" style="0" bestFit="1" customWidth="1"/>
    <col min="14" max="14" width="13.57421875" style="0" bestFit="1" customWidth="1"/>
    <col min="15" max="15" width="8.140625" style="0" customWidth="1"/>
    <col min="16" max="17" width="2.7109375" style="0" customWidth="1"/>
  </cols>
  <sheetData>
    <row r="1" spans="1:17" ht="12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9"/>
    </row>
    <row r="2" spans="1:17" ht="15.75" customHeight="1">
      <c r="A2" s="71"/>
      <c r="B2" s="447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448"/>
      <c r="Q2" s="71"/>
    </row>
    <row r="3" spans="1:17" ht="15.75" customHeight="1">
      <c r="A3" s="71"/>
      <c r="B3" s="447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448"/>
      <c r="Q3" s="71"/>
    </row>
    <row r="4" spans="1:17" ht="15.75" customHeight="1">
      <c r="A4" s="71"/>
      <c r="B4" s="867" t="s">
        <v>385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9"/>
      <c r="Q4" s="71"/>
    </row>
    <row r="5" spans="1:17" ht="15.75" customHeight="1">
      <c r="A5" s="71"/>
      <c r="B5" s="426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71"/>
    </row>
    <row r="6" spans="1:17" ht="15.75" customHeight="1" thickBot="1">
      <c r="A6" s="71"/>
      <c r="B6" s="426"/>
      <c r="C6" s="449" t="s">
        <v>350</v>
      </c>
      <c r="D6" s="427"/>
      <c r="E6" s="427"/>
      <c r="F6" s="427"/>
      <c r="G6" s="427"/>
      <c r="H6" s="427"/>
      <c r="I6" s="427"/>
      <c r="J6" s="427"/>
      <c r="K6" s="154" t="s">
        <v>349</v>
      </c>
      <c r="L6" s="427"/>
      <c r="M6" s="427"/>
      <c r="N6" s="427"/>
      <c r="O6" s="427"/>
      <c r="P6" s="428"/>
      <c r="Q6" s="71"/>
    </row>
    <row r="7" spans="1:17" ht="18" customHeight="1">
      <c r="A7" s="71"/>
      <c r="B7" s="338"/>
      <c r="C7" s="450" t="s">
        <v>236</v>
      </c>
      <c r="D7" s="872" t="s">
        <v>299</v>
      </c>
      <c r="E7" s="873"/>
      <c r="F7" s="874"/>
      <c r="G7" s="872" t="s">
        <v>300</v>
      </c>
      <c r="H7" s="873"/>
      <c r="I7" s="873"/>
      <c r="J7" s="150"/>
      <c r="K7" s="450" t="s">
        <v>301</v>
      </c>
      <c r="L7" s="451" t="s">
        <v>294</v>
      </c>
      <c r="M7" s="451" t="s">
        <v>295</v>
      </c>
      <c r="N7" s="451" t="s">
        <v>296</v>
      </c>
      <c r="O7" s="875" t="s">
        <v>14</v>
      </c>
      <c r="P7" s="122"/>
      <c r="Q7" s="71"/>
    </row>
    <row r="8" spans="1:17" ht="16.5" customHeight="1" thickBot="1">
      <c r="A8" s="71"/>
      <c r="B8" s="338"/>
      <c r="C8" s="452" t="s">
        <v>235</v>
      </c>
      <c r="D8" s="453" t="s">
        <v>232</v>
      </c>
      <c r="E8" s="454" t="s">
        <v>233</v>
      </c>
      <c r="F8" s="455" t="s">
        <v>14</v>
      </c>
      <c r="G8" s="456" t="s">
        <v>232</v>
      </c>
      <c r="H8" s="454" t="s">
        <v>233</v>
      </c>
      <c r="I8" s="457" t="s">
        <v>14</v>
      </c>
      <c r="J8" s="150"/>
      <c r="K8" s="452" t="s">
        <v>235</v>
      </c>
      <c r="L8" s="455" t="s">
        <v>297</v>
      </c>
      <c r="M8" s="455" t="s">
        <v>298</v>
      </c>
      <c r="N8" s="455" t="s">
        <v>303</v>
      </c>
      <c r="O8" s="876"/>
      <c r="P8" s="122"/>
      <c r="Q8" s="71"/>
    </row>
    <row r="9" spans="1:17" ht="16.5" customHeight="1">
      <c r="A9" s="71"/>
      <c r="B9" s="338"/>
      <c r="C9" s="234" t="s">
        <v>4</v>
      </c>
      <c r="D9" s="235">
        <v>86004</v>
      </c>
      <c r="E9" s="236">
        <v>87657</v>
      </c>
      <c r="F9" s="243">
        <f>(E9/D9-1)*100</f>
        <v>1.9220036277382446</v>
      </c>
      <c r="G9" s="391">
        <v>1477.3</v>
      </c>
      <c r="H9" s="388">
        <v>1709.9</v>
      </c>
      <c r="I9" s="395">
        <f>(H9/G9-1)*100</f>
        <v>15.744940093413673</v>
      </c>
      <c r="J9" s="115"/>
      <c r="K9" s="234" t="s">
        <v>4</v>
      </c>
      <c r="L9" s="235">
        <v>1434</v>
      </c>
      <c r="M9" s="235">
        <v>12205</v>
      </c>
      <c r="N9" s="235">
        <v>6960</v>
      </c>
      <c r="O9" s="237">
        <f>(N9/E9)*100</f>
        <v>7.940039015708956</v>
      </c>
      <c r="P9" s="122"/>
      <c r="Q9" s="71"/>
    </row>
    <row r="10" spans="1:17" ht="15.75">
      <c r="A10" s="71"/>
      <c r="B10" s="338"/>
      <c r="C10" s="234" t="s">
        <v>5</v>
      </c>
      <c r="D10" s="235">
        <v>4377</v>
      </c>
      <c r="E10" s="235">
        <v>1243</v>
      </c>
      <c r="F10" s="243">
        <f aca="true" t="shared" si="0" ref="F10:F27">(E10/D10-1)*100</f>
        <v>-71.60155357550833</v>
      </c>
      <c r="G10" s="392">
        <v>68.7</v>
      </c>
      <c r="H10" s="388">
        <v>16.6</v>
      </c>
      <c r="I10" s="396">
        <f aca="true" t="shared" si="1" ref="I10:I27">(H10/G10-1)*100</f>
        <v>-75.83697234352256</v>
      </c>
      <c r="J10" s="115"/>
      <c r="K10" s="234" t="s">
        <v>5</v>
      </c>
      <c r="L10" s="235">
        <v>0</v>
      </c>
      <c r="M10" s="235">
        <v>0</v>
      </c>
      <c r="N10" s="235">
        <v>0</v>
      </c>
      <c r="O10" s="237">
        <f aca="true" t="shared" si="2" ref="O10:O27">(N10/E10)*100</f>
        <v>0</v>
      </c>
      <c r="P10" s="122"/>
      <c r="Q10" s="71"/>
    </row>
    <row r="11" spans="1:17" ht="21" customHeight="1">
      <c r="A11" s="71"/>
      <c r="B11" s="338"/>
      <c r="C11" s="234" t="s">
        <v>6</v>
      </c>
      <c r="D11" s="235">
        <v>143939</v>
      </c>
      <c r="E11" s="235">
        <v>146278</v>
      </c>
      <c r="F11" s="243">
        <f t="shared" si="0"/>
        <v>1.6249939210359887</v>
      </c>
      <c r="G11" s="392">
        <v>2371.3</v>
      </c>
      <c r="H11" s="388">
        <v>2345.7</v>
      </c>
      <c r="I11" s="396">
        <f t="shared" si="1"/>
        <v>-1.0795766035508136</v>
      </c>
      <c r="J11" s="115"/>
      <c r="K11" s="234" t="s">
        <v>6</v>
      </c>
      <c r="L11" s="235">
        <v>936</v>
      </c>
      <c r="M11" s="235">
        <v>169456</v>
      </c>
      <c r="N11" s="235">
        <v>36710</v>
      </c>
      <c r="O11" s="237">
        <f t="shared" si="2"/>
        <v>25.096049987011032</v>
      </c>
      <c r="P11" s="122"/>
      <c r="Q11" s="71"/>
    </row>
    <row r="12" spans="1:17" ht="16.5" customHeight="1">
      <c r="A12" s="71"/>
      <c r="B12" s="338"/>
      <c r="C12" s="232" t="s">
        <v>237</v>
      </c>
      <c r="D12" s="251">
        <v>11973</v>
      </c>
      <c r="E12" s="251">
        <v>9129</v>
      </c>
      <c r="F12" s="245">
        <f t="shared" si="0"/>
        <v>-23.753445251816586</v>
      </c>
      <c r="G12" s="322">
        <v>435.1</v>
      </c>
      <c r="H12" s="323">
        <v>337.8</v>
      </c>
      <c r="I12" s="248">
        <f t="shared" si="1"/>
        <v>-22.362675247069642</v>
      </c>
      <c r="J12" s="115"/>
      <c r="K12" s="232" t="s">
        <v>237</v>
      </c>
      <c r="L12" s="233">
        <v>0</v>
      </c>
      <c r="M12" s="233">
        <v>0</v>
      </c>
      <c r="N12" s="251">
        <v>0</v>
      </c>
      <c r="O12" s="250">
        <f t="shared" si="2"/>
        <v>0</v>
      </c>
      <c r="P12" s="122"/>
      <c r="Q12" s="71"/>
    </row>
    <row r="13" spans="1:17" ht="16.5" customHeight="1">
      <c r="A13" s="71"/>
      <c r="B13" s="338"/>
      <c r="C13" s="232" t="s">
        <v>238</v>
      </c>
      <c r="D13" s="251">
        <v>99366</v>
      </c>
      <c r="E13" s="251">
        <v>101921</v>
      </c>
      <c r="F13" s="245">
        <f t="shared" si="0"/>
        <v>2.57130205502889</v>
      </c>
      <c r="G13" s="322">
        <v>896.2</v>
      </c>
      <c r="H13" s="323">
        <v>824.3</v>
      </c>
      <c r="I13" s="248">
        <f t="shared" si="1"/>
        <v>-8.022762776166047</v>
      </c>
      <c r="J13" s="115"/>
      <c r="K13" s="232" t="s">
        <v>238</v>
      </c>
      <c r="L13" s="233">
        <v>0</v>
      </c>
      <c r="M13" s="233">
        <v>0</v>
      </c>
      <c r="N13" s="251">
        <v>0</v>
      </c>
      <c r="O13" s="250">
        <f t="shared" si="2"/>
        <v>0</v>
      </c>
      <c r="P13" s="122"/>
      <c r="Q13" s="71"/>
    </row>
    <row r="14" spans="1:18" ht="16.5" customHeight="1">
      <c r="A14" s="71"/>
      <c r="B14" s="338"/>
      <c r="C14" s="232" t="s">
        <v>239</v>
      </c>
      <c r="D14" s="251">
        <v>32600</v>
      </c>
      <c r="E14" s="251">
        <v>35228</v>
      </c>
      <c r="F14" s="245">
        <f t="shared" si="0"/>
        <v>8.06134969325154</v>
      </c>
      <c r="G14" s="322">
        <v>1040</v>
      </c>
      <c r="H14" s="323">
        <v>1183.6</v>
      </c>
      <c r="I14" s="248">
        <f t="shared" si="1"/>
        <v>13.8076923076923</v>
      </c>
      <c r="J14" s="115"/>
      <c r="K14" s="232" t="s">
        <v>239</v>
      </c>
      <c r="L14" s="233">
        <v>0</v>
      </c>
      <c r="M14" s="233">
        <v>0</v>
      </c>
      <c r="N14" s="251">
        <v>0</v>
      </c>
      <c r="O14" s="250">
        <f t="shared" si="2"/>
        <v>0</v>
      </c>
      <c r="P14" s="122"/>
      <c r="Q14" s="71"/>
      <c r="R14" s="3"/>
    </row>
    <row r="15" spans="1:17" ht="21" customHeight="1">
      <c r="A15" s="71"/>
      <c r="B15" s="338"/>
      <c r="C15" s="234" t="s">
        <v>10</v>
      </c>
      <c r="D15" s="235">
        <v>20115</v>
      </c>
      <c r="E15" s="235">
        <v>20189</v>
      </c>
      <c r="F15" s="243">
        <f t="shared" si="0"/>
        <v>0.36788466318666835</v>
      </c>
      <c r="G15" s="392">
        <v>165.8</v>
      </c>
      <c r="H15" s="388">
        <v>127.9</v>
      </c>
      <c r="I15" s="396">
        <f t="shared" si="1"/>
        <v>-22.85886610373945</v>
      </c>
      <c r="J15" s="115"/>
      <c r="K15" s="234" t="s">
        <v>10</v>
      </c>
      <c r="L15" s="235">
        <v>18</v>
      </c>
      <c r="M15" s="235">
        <v>545</v>
      </c>
      <c r="N15" s="235">
        <v>150</v>
      </c>
      <c r="O15" s="237">
        <f t="shared" si="2"/>
        <v>0.7429788498687404</v>
      </c>
      <c r="P15" s="122"/>
      <c r="Q15" s="71"/>
    </row>
    <row r="16" spans="1:17" ht="15.75">
      <c r="A16" s="71"/>
      <c r="B16" s="338"/>
      <c r="C16" s="234" t="s">
        <v>11</v>
      </c>
      <c r="D16" s="235">
        <v>6136.8</v>
      </c>
      <c r="E16" s="235">
        <v>6175</v>
      </c>
      <c r="F16" s="243">
        <f t="shared" si="0"/>
        <v>0.6224742536826922</v>
      </c>
      <c r="G16" s="392">
        <v>236.6</v>
      </c>
      <c r="H16" s="388">
        <v>227.3</v>
      </c>
      <c r="I16" s="396">
        <f t="shared" si="1"/>
        <v>-3.9306846999154654</v>
      </c>
      <c r="J16" s="115"/>
      <c r="K16" s="234" t="s">
        <v>11</v>
      </c>
      <c r="L16" s="235">
        <v>17</v>
      </c>
      <c r="M16" s="235">
        <v>14705</v>
      </c>
      <c r="N16" s="235">
        <v>2050</v>
      </c>
      <c r="O16" s="237">
        <f t="shared" si="2"/>
        <v>33.198380566801625</v>
      </c>
      <c r="P16" s="122"/>
      <c r="Q16" s="71"/>
    </row>
    <row r="17" spans="1:17" ht="21" customHeight="1">
      <c r="A17" s="71"/>
      <c r="B17" s="338"/>
      <c r="C17" s="234" t="s">
        <v>8</v>
      </c>
      <c r="D17" s="235">
        <v>995079</v>
      </c>
      <c r="E17" s="235">
        <v>967456</v>
      </c>
      <c r="F17" s="243">
        <f t="shared" si="0"/>
        <v>-2.775960501628516</v>
      </c>
      <c r="G17" s="392">
        <v>22644.1</v>
      </c>
      <c r="H17" s="388">
        <v>21856.8</v>
      </c>
      <c r="I17" s="396">
        <f t="shared" si="1"/>
        <v>-3.4768438577819305</v>
      </c>
      <c r="J17" s="115"/>
      <c r="K17" s="234" t="s">
        <v>8</v>
      </c>
      <c r="L17" s="235">
        <v>59625</v>
      </c>
      <c r="M17" s="235">
        <v>2998662</v>
      </c>
      <c r="N17" s="235">
        <v>548600</v>
      </c>
      <c r="O17" s="237">
        <f t="shared" si="2"/>
        <v>56.70542122845896</v>
      </c>
      <c r="P17" s="122"/>
      <c r="Q17" s="71"/>
    </row>
    <row r="18" spans="1:18" ht="16.5" customHeight="1">
      <c r="A18" s="71"/>
      <c r="B18" s="338"/>
      <c r="C18" s="232" t="s">
        <v>290</v>
      </c>
      <c r="D18" s="251">
        <v>501214</v>
      </c>
      <c r="E18" s="251">
        <v>474611</v>
      </c>
      <c r="F18" s="245">
        <f t="shared" si="0"/>
        <v>-5.307712873144011</v>
      </c>
      <c r="G18" s="322">
        <v>10803.7</v>
      </c>
      <c r="H18" s="323">
        <v>10251.3</v>
      </c>
      <c r="I18" s="248">
        <f t="shared" si="1"/>
        <v>-5.113063117265392</v>
      </c>
      <c r="J18" s="115"/>
      <c r="K18" s="232" t="s">
        <v>290</v>
      </c>
      <c r="L18" s="233">
        <v>0</v>
      </c>
      <c r="M18" s="233">
        <v>0</v>
      </c>
      <c r="N18" s="251">
        <v>0</v>
      </c>
      <c r="O18" s="250">
        <f t="shared" si="2"/>
        <v>0</v>
      </c>
      <c r="P18" s="122"/>
      <c r="Q18" s="71"/>
      <c r="R18" s="130"/>
    </row>
    <row r="19" spans="1:17" ht="16.5" customHeight="1">
      <c r="A19" s="71"/>
      <c r="B19" s="338"/>
      <c r="C19" s="232" t="s">
        <v>291</v>
      </c>
      <c r="D19" s="251">
        <v>174369</v>
      </c>
      <c r="E19" s="251">
        <v>170634</v>
      </c>
      <c r="F19" s="245">
        <f t="shared" si="0"/>
        <v>-2.1420091874128966</v>
      </c>
      <c r="G19" s="322">
        <v>5765.5</v>
      </c>
      <c r="H19" s="323">
        <v>4231.4</v>
      </c>
      <c r="I19" s="248">
        <f t="shared" si="1"/>
        <v>-26.608273350099743</v>
      </c>
      <c r="J19" s="115"/>
      <c r="K19" s="232" t="s">
        <v>291</v>
      </c>
      <c r="L19" s="233">
        <v>0</v>
      </c>
      <c r="M19" s="233">
        <v>0</v>
      </c>
      <c r="N19" s="251">
        <v>0</v>
      </c>
      <c r="O19" s="250">
        <f t="shared" si="2"/>
        <v>0</v>
      </c>
      <c r="P19" s="122"/>
      <c r="Q19" s="71"/>
    </row>
    <row r="20" spans="1:17" ht="16.5" customHeight="1">
      <c r="A20" s="71"/>
      <c r="B20" s="338"/>
      <c r="C20" s="232" t="s">
        <v>292</v>
      </c>
      <c r="D20" s="251">
        <v>284582</v>
      </c>
      <c r="E20" s="251">
        <v>288336</v>
      </c>
      <c r="F20" s="245">
        <f t="shared" si="0"/>
        <v>1.3191277030873305</v>
      </c>
      <c r="G20" s="322">
        <v>5304.8</v>
      </c>
      <c r="H20" s="323">
        <v>6704.2</v>
      </c>
      <c r="I20" s="248">
        <f t="shared" si="1"/>
        <v>26.379882370683138</v>
      </c>
      <c r="J20" s="115"/>
      <c r="K20" s="232" t="s">
        <v>292</v>
      </c>
      <c r="L20" s="233">
        <v>0</v>
      </c>
      <c r="M20" s="233">
        <v>0</v>
      </c>
      <c r="N20" s="251">
        <v>0</v>
      </c>
      <c r="O20" s="250">
        <f t="shared" si="2"/>
        <v>0</v>
      </c>
      <c r="P20" s="122"/>
      <c r="Q20" s="71"/>
    </row>
    <row r="21" spans="1:17" ht="16.5" customHeight="1">
      <c r="A21" s="71"/>
      <c r="B21" s="338"/>
      <c r="C21" s="232" t="s">
        <v>293</v>
      </c>
      <c r="D21" s="251">
        <v>34914</v>
      </c>
      <c r="E21" s="251">
        <v>33875</v>
      </c>
      <c r="F21" s="245">
        <f t="shared" si="0"/>
        <v>-2.9758835997021227</v>
      </c>
      <c r="G21" s="322">
        <v>770.1</v>
      </c>
      <c r="H21" s="323">
        <v>669.9</v>
      </c>
      <c r="I21" s="248">
        <f t="shared" si="1"/>
        <v>-13.01129723412544</v>
      </c>
      <c r="J21" s="115"/>
      <c r="K21" s="232" t="s">
        <v>293</v>
      </c>
      <c r="L21" s="233">
        <v>0</v>
      </c>
      <c r="M21" s="233">
        <v>0</v>
      </c>
      <c r="N21" s="251">
        <v>0</v>
      </c>
      <c r="O21" s="250">
        <f t="shared" si="2"/>
        <v>0</v>
      </c>
      <c r="P21" s="122"/>
      <c r="Q21" s="71"/>
    </row>
    <row r="22" spans="1:17" ht="21" customHeight="1">
      <c r="A22" s="71"/>
      <c r="B22" s="338"/>
      <c r="C22" s="234" t="s">
        <v>33</v>
      </c>
      <c r="D22" s="235">
        <v>433242</v>
      </c>
      <c r="E22" s="235">
        <v>430302</v>
      </c>
      <c r="F22" s="243">
        <f t="shared" si="0"/>
        <v>-0.6786045674242125</v>
      </c>
      <c r="G22" s="392">
        <v>12805.7</v>
      </c>
      <c r="H22" s="388">
        <v>10378.7</v>
      </c>
      <c r="I22" s="396">
        <f t="shared" si="1"/>
        <v>-18.952497715860904</v>
      </c>
      <c r="J22" s="115"/>
      <c r="K22" s="234" t="s">
        <v>33</v>
      </c>
      <c r="L22" s="235">
        <v>27582</v>
      </c>
      <c r="M22" s="235">
        <v>905797</v>
      </c>
      <c r="N22" s="235">
        <v>170430</v>
      </c>
      <c r="O22" s="237">
        <f t="shared" si="2"/>
        <v>39.607066664807505</v>
      </c>
      <c r="P22" s="122"/>
      <c r="Q22" s="71"/>
    </row>
    <row r="23" spans="1:17" ht="16.5" customHeight="1">
      <c r="A23" s="71"/>
      <c r="B23" s="338"/>
      <c r="C23" s="234" t="s">
        <v>34</v>
      </c>
      <c r="D23" s="235">
        <v>12783</v>
      </c>
      <c r="E23" s="235">
        <v>12568</v>
      </c>
      <c r="F23" s="243">
        <f t="shared" si="0"/>
        <v>-1.6819213017288615</v>
      </c>
      <c r="G23" s="392">
        <v>292.3</v>
      </c>
      <c r="H23" s="388">
        <v>309.6</v>
      </c>
      <c r="I23" s="396">
        <f t="shared" si="1"/>
        <v>5.918576804652753</v>
      </c>
      <c r="J23" s="115"/>
      <c r="K23" s="234" t="s">
        <v>34</v>
      </c>
      <c r="L23" s="235">
        <v>470</v>
      </c>
      <c r="M23" s="235">
        <v>7342</v>
      </c>
      <c r="N23" s="235">
        <v>1900</v>
      </c>
      <c r="O23" s="237">
        <f t="shared" si="2"/>
        <v>15.11775938892425</v>
      </c>
      <c r="P23" s="122"/>
      <c r="Q23" s="71"/>
    </row>
    <row r="24" spans="1:17" ht="16.5" customHeight="1">
      <c r="A24" s="71"/>
      <c r="B24" s="338"/>
      <c r="C24" s="234" t="s">
        <v>9</v>
      </c>
      <c r="D24" s="235">
        <v>199686</v>
      </c>
      <c r="E24" s="235">
        <v>203491</v>
      </c>
      <c r="F24" s="243">
        <f t="shared" si="0"/>
        <v>1.9054916218463003</v>
      </c>
      <c r="G24" s="392">
        <v>4588.8</v>
      </c>
      <c r="H24" s="388">
        <v>3834.9</v>
      </c>
      <c r="I24" s="396">
        <f t="shared" si="1"/>
        <v>-16.429131799163176</v>
      </c>
      <c r="J24" s="115"/>
      <c r="K24" s="234" t="s">
        <v>9</v>
      </c>
      <c r="L24" s="235">
        <v>5206</v>
      </c>
      <c r="M24" s="235">
        <v>571788</v>
      </c>
      <c r="N24" s="235">
        <v>94510</v>
      </c>
      <c r="O24" s="237">
        <f t="shared" si="2"/>
        <v>46.44431449056715</v>
      </c>
      <c r="P24" s="122"/>
      <c r="Q24" s="71"/>
    </row>
    <row r="25" spans="1:17" ht="16.5" customHeight="1">
      <c r="A25" s="71"/>
      <c r="B25" s="338"/>
      <c r="C25" s="234" t="s">
        <v>7</v>
      </c>
      <c r="D25" s="235">
        <v>33251</v>
      </c>
      <c r="E25" s="235">
        <v>44500</v>
      </c>
      <c r="F25" s="243">
        <f t="shared" si="0"/>
        <v>33.83056148687258</v>
      </c>
      <c r="G25" s="392">
        <v>558.6</v>
      </c>
      <c r="H25" s="388">
        <v>1210</v>
      </c>
      <c r="I25" s="396">
        <f t="shared" si="1"/>
        <v>116.61296097386322</v>
      </c>
      <c r="J25" s="115"/>
      <c r="K25" s="234" t="s">
        <v>7</v>
      </c>
      <c r="L25" s="235">
        <v>1927</v>
      </c>
      <c r="M25" s="235">
        <v>48219</v>
      </c>
      <c r="N25" s="235">
        <v>9820</v>
      </c>
      <c r="O25" s="237">
        <f t="shared" si="2"/>
        <v>22.06741573033708</v>
      </c>
      <c r="P25" s="122"/>
      <c r="Q25" s="71"/>
    </row>
    <row r="26" spans="1:17" s="5" customFormat="1" ht="18" customHeight="1" thickBot="1">
      <c r="A26" s="71"/>
      <c r="B26" s="338"/>
      <c r="C26" s="238" t="s">
        <v>234</v>
      </c>
      <c r="D26" s="239">
        <v>12587</v>
      </c>
      <c r="E26" s="239">
        <v>10287</v>
      </c>
      <c r="F26" s="244">
        <f t="shared" si="0"/>
        <v>-18.27282116469373</v>
      </c>
      <c r="G26" s="393">
        <v>132.7</v>
      </c>
      <c r="H26" s="389">
        <v>130.9</v>
      </c>
      <c r="I26" s="397">
        <f t="shared" si="1"/>
        <v>-1.35644310474754</v>
      </c>
      <c r="J26" s="115"/>
      <c r="K26" s="238" t="s">
        <v>234</v>
      </c>
      <c r="L26" s="239">
        <v>46</v>
      </c>
      <c r="M26" s="239">
        <v>2755</v>
      </c>
      <c r="N26" s="239">
        <v>460</v>
      </c>
      <c r="O26" s="397">
        <f t="shared" si="2"/>
        <v>4.471663264314183</v>
      </c>
      <c r="P26" s="122"/>
      <c r="Q26" s="71"/>
    </row>
    <row r="27" spans="1:17" ht="15" customHeight="1" thickBot="1">
      <c r="A27" s="71"/>
      <c r="B27" s="338"/>
      <c r="C27" s="240" t="s">
        <v>120</v>
      </c>
      <c r="D27" s="241">
        <f>D9+D10+D11+D15+D16+D17+D22+D23+D24+D25+D26</f>
        <v>1947199.8</v>
      </c>
      <c r="E27" s="241">
        <f>E9+E10+E11+E15+E16+E17+E22+E23+E24+E25+E26</f>
        <v>1930146</v>
      </c>
      <c r="F27" s="247">
        <f t="shared" si="0"/>
        <v>-0.8758115114843368</v>
      </c>
      <c r="G27" s="394">
        <f>G9+G10+G11+G15+G16+G17+G22+G23+G24+G25+G26</f>
        <v>45341.9</v>
      </c>
      <c r="H27" s="390">
        <f>H9+H10+H11+H15+H16+H17+H22+H23+H24+H25+H26</f>
        <v>42148.299999999996</v>
      </c>
      <c r="I27" s="249">
        <f t="shared" si="1"/>
        <v>-7.0433748916565175</v>
      </c>
      <c r="J27" s="115"/>
      <c r="K27" s="240" t="s">
        <v>120</v>
      </c>
      <c r="L27" s="241">
        <f>L9+L10+L11+L15+L16+L17+L22+L23+L24+L25+L26</f>
        <v>97261</v>
      </c>
      <c r="M27" s="241">
        <f>M9+M10+M11+M15+M16+M17+M22+M23+M24+M25+M26</f>
        <v>4731474</v>
      </c>
      <c r="N27" s="253">
        <f>SUM(N9:N26)</f>
        <v>871590</v>
      </c>
      <c r="O27" s="249">
        <f t="shared" si="2"/>
        <v>45.1566876288115</v>
      </c>
      <c r="P27" s="122"/>
      <c r="Q27" s="70"/>
    </row>
    <row r="28" spans="1:17" ht="15.75">
      <c r="A28" s="70"/>
      <c r="B28" s="339"/>
      <c r="C28" s="128" t="s">
        <v>447</v>
      </c>
      <c r="D28" s="337"/>
      <c r="E28" s="337"/>
      <c r="F28" s="337"/>
      <c r="G28" s="337"/>
      <c r="H28" s="337"/>
      <c r="I28" s="337"/>
      <c r="J28" s="337"/>
      <c r="K28" s="128" t="s">
        <v>302</v>
      </c>
      <c r="L28" s="337"/>
      <c r="M28" s="337"/>
      <c r="N28" s="337"/>
      <c r="O28" s="254">
        <f ca="1">NOW()</f>
        <v>42319.650697453704</v>
      </c>
      <c r="P28" s="147"/>
      <c r="Q28" s="70"/>
    </row>
    <row r="29" spans="1:17" ht="12.75">
      <c r="A29" s="70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71"/>
      <c r="Q29" s="70"/>
    </row>
  </sheetData>
  <sheetProtection/>
  <mergeCells count="4">
    <mergeCell ref="B4:P4"/>
    <mergeCell ref="D7:F7"/>
    <mergeCell ref="G7:I7"/>
    <mergeCell ref="O7:O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12.421875" style="0" customWidth="1"/>
    <col min="5" max="13" width="9.28125" style="0" customWidth="1"/>
    <col min="14" max="14" width="9.7109375" style="0" customWidth="1"/>
    <col min="15" max="15" width="2.7109375" style="0" customWidth="1"/>
    <col min="17" max="17" width="12.57421875" style="0" customWidth="1"/>
  </cols>
  <sheetData>
    <row r="1" spans="1:15" ht="18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9"/>
    </row>
    <row r="2" spans="1:15" ht="25.5" customHeight="1">
      <c r="A2" s="74"/>
      <c r="B2" s="879" t="s">
        <v>40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1"/>
      <c r="O2" s="163"/>
    </row>
    <row r="3" spans="1:15" ht="18" customHeight="1">
      <c r="A3" s="74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6"/>
      <c r="O3" s="70"/>
    </row>
    <row r="4" spans="1:15" ht="18" customHeight="1">
      <c r="A4" s="74"/>
      <c r="B4" s="882" t="s">
        <v>240</v>
      </c>
      <c r="C4" s="883"/>
      <c r="D4" s="884"/>
      <c r="E4" s="188">
        <v>2006</v>
      </c>
      <c r="F4" s="164">
        <v>2007</v>
      </c>
      <c r="G4" s="164">
        <v>2008</v>
      </c>
      <c r="H4" s="164">
        <v>2009</v>
      </c>
      <c r="I4" s="164">
        <v>2010</v>
      </c>
      <c r="J4" s="164">
        <v>2011</v>
      </c>
      <c r="K4" s="164">
        <v>2012</v>
      </c>
      <c r="L4" s="164">
        <v>2013</v>
      </c>
      <c r="M4" s="164">
        <v>2014</v>
      </c>
      <c r="N4" s="164">
        <v>2015</v>
      </c>
      <c r="O4" s="71"/>
    </row>
    <row r="5" spans="1:15" ht="18" customHeight="1">
      <c r="A5" s="71"/>
      <c r="B5" s="165" t="s">
        <v>335</v>
      </c>
      <c r="C5" s="166"/>
      <c r="D5" s="189"/>
      <c r="E5" s="167">
        <v>42.512</v>
      </c>
      <c r="F5" s="167">
        <v>36.07</v>
      </c>
      <c r="G5" s="167">
        <v>45.992</v>
      </c>
      <c r="H5" s="167">
        <v>39.47</v>
      </c>
      <c r="I5" s="167">
        <v>48.095</v>
      </c>
      <c r="J5" s="167">
        <v>43.484</v>
      </c>
      <c r="K5" s="167">
        <v>50.826</v>
      </c>
      <c r="L5" s="167">
        <v>49.152</v>
      </c>
      <c r="M5" s="167">
        <v>45.346</v>
      </c>
      <c r="N5" s="858" t="s">
        <v>492</v>
      </c>
      <c r="O5" s="71"/>
    </row>
    <row r="6" spans="1:15" ht="18" customHeight="1">
      <c r="A6" s="71"/>
      <c r="B6" s="168" t="s">
        <v>41</v>
      </c>
      <c r="C6" s="357"/>
      <c r="D6" s="358"/>
      <c r="E6" s="169">
        <v>2.152</v>
      </c>
      <c r="F6" s="169">
        <v>2.176</v>
      </c>
      <c r="G6" s="169">
        <v>2.169</v>
      </c>
      <c r="H6" s="169">
        <v>2.092</v>
      </c>
      <c r="I6" s="169">
        <v>2.076</v>
      </c>
      <c r="J6" s="169">
        <v>2.056</v>
      </c>
      <c r="K6" s="169">
        <v>2.049</v>
      </c>
      <c r="L6" s="169">
        <v>2.016</v>
      </c>
      <c r="M6" s="169">
        <v>1.946</v>
      </c>
      <c r="N6" s="857">
        <v>1.946</v>
      </c>
      <c r="O6" s="71"/>
    </row>
    <row r="7" spans="1:15" ht="18" customHeight="1">
      <c r="A7" s="71"/>
      <c r="B7" s="168" t="s">
        <v>42</v>
      </c>
      <c r="C7" s="357"/>
      <c r="D7" s="358"/>
      <c r="E7" s="169">
        <v>19.75</v>
      </c>
      <c r="F7" s="169">
        <v>16.57</v>
      </c>
      <c r="G7" s="170">
        <v>21.2</v>
      </c>
      <c r="H7" s="169">
        <v>18.86</v>
      </c>
      <c r="I7" s="169">
        <v>23.16</v>
      </c>
      <c r="J7" s="169">
        <v>21.15</v>
      </c>
      <c r="K7" s="169">
        <v>24.8</v>
      </c>
      <c r="L7" s="169">
        <v>24.31</v>
      </c>
      <c r="M7" s="169">
        <v>23.3</v>
      </c>
      <c r="N7" s="836">
        <v>21.8</v>
      </c>
      <c r="O7" s="71"/>
    </row>
    <row r="8" spans="1:15" ht="12" customHeight="1">
      <c r="A8" s="71"/>
      <c r="B8" s="153"/>
      <c r="C8" s="154"/>
      <c r="D8" s="156"/>
      <c r="E8" s="160"/>
      <c r="F8" s="160"/>
      <c r="G8" s="160"/>
      <c r="H8" s="160"/>
      <c r="I8" s="160"/>
      <c r="J8" s="160"/>
      <c r="K8" s="160"/>
      <c r="L8" s="160"/>
      <c r="M8" s="160"/>
      <c r="N8" s="799"/>
      <c r="O8" s="71"/>
    </row>
    <row r="9" spans="1:15" ht="18" customHeight="1">
      <c r="A9" s="71"/>
      <c r="B9" s="173" t="s">
        <v>336</v>
      </c>
      <c r="C9" s="172"/>
      <c r="D9" s="185"/>
      <c r="E9" s="174">
        <v>27.977</v>
      </c>
      <c r="F9" s="174">
        <v>28.398</v>
      </c>
      <c r="G9" s="174">
        <v>29.727</v>
      </c>
      <c r="H9" s="174">
        <v>30.481</v>
      </c>
      <c r="I9" s="174">
        <v>33.493</v>
      </c>
      <c r="J9" s="174">
        <v>33.61</v>
      </c>
      <c r="K9" s="174">
        <v>28.735</v>
      </c>
      <c r="L9" s="174">
        <v>32.01</v>
      </c>
      <c r="M9" s="174">
        <v>36.735</v>
      </c>
      <c r="N9" s="856" t="s">
        <v>491</v>
      </c>
      <c r="O9" s="71"/>
    </row>
    <row r="10" spans="1:15" ht="18" customHeight="1">
      <c r="A10" s="71"/>
      <c r="B10" s="175" t="s">
        <v>241</v>
      </c>
      <c r="C10" s="357"/>
      <c r="D10" s="358"/>
      <c r="E10" s="176">
        <v>3.363</v>
      </c>
      <c r="F10" s="176">
        <v>3.891</v>
      </c>
      <c r="G10" s="176">
        <v>4.762</v>
      </c>
      <c r="H10" s="176">
        <v>4.279</v>
      </c>
      <c r="I10" s="176">
        <v>5.764</v>
      </c>
      <c r="J10" s="176">
        <v>8.733</v>
      </c>
      <c r="K10" s="176">
        <v>6.462</v>
      </c>
      <c r="L10" s="176">
        <v>5.275</v>
      </c>
      <c r="M10" s="176">
        <v>6.661</v>
      </c>
      <c r="N10" s="857">
        <v>5.2</v>
      </c>
      <c r="O10" s="71"/>
    </row>
    <row r="11" spans="1:15" ht="18" customHeight="1">
      <c r="A11" s="71"/>
      <c r="B11" s="177" t="s">
        <v>242</v>
      </c>
      <c r="C11" s="357"/>
      <c r="D11" s="358"/>
      <c r="E11" s="178">
        <v>120.23</v>
      </c>
      <c r="F11" s="178">
        <v>137.03</v>
      </c>
      <c r="G11" s="178">
        <v>160.2</v>
      </c>
      <c r="H11" s="178">
        <v>140.38</v>
      </c>
      <c r="I11" s="178">
        <v>172.11</v>
      </c>
      <c r="J11" s="178">
        <v>259.83</v>
      </c>
      <c r="K11" s="178">
        <v>224.9</v>
      </c>
      <c r="L11" s="178">
        <v>164.81</v>
      </c>
      <c r="M11" s="178">
        <v>181.35</v>
      </c>
      <c r="N11" s="836">
        <v>169.5</v>
      </c>
      <c r="O11" s="71"/>
    </row>
    <row r="12" spans="1:15" ht="12" customHeight="1">
      <c r="A12" s="71"/>
      <c r="B12" s="153"/>
      <c r="C12" s="154"/>
      <c r="D12" s="156"/>
      <c r="E12" s="160"/>
      <c r="F12" s="160"/>
      <c r="G12" s="160"/>
      <c r="H12" s="160"/>
      <c r="I12" s="160"/>
      <c r="J12" s="160"/>
      <c r="K12" s="160"/>
      <c r="L12" s="160"/>
      <c r="M12" s="160"/>
      <c r="N12" s="800"/>
      <c r="O12" s="71"/>
    </row>
    <row r="13" spans="1:15" ht="18" customHeight="1">
      <c r="A13" s="71"/>
      <c r="B13" s="179" t="s">
        <v>459</v>
      </c>
      <c r="C13" s="172"/>
      <c r="D13" s="185"/>
      <c r="E13" s="171">
        <v>16.33</v>
      </c>
      <c r="F13" s="171">
        <v>17.12</v>
      </c>
      <c r="G13" s="171">
        <v>17.66</v>
      </c>
      <c r="H13" s="171">
        <v>18.389</v>
      </c>
      <c r="I13" s="171">
        <v>19.13</v>
      </c>
      <c r="J13" s="171">
        <v>19.72</v>
      </c>
      <c r="K13" s="171">
        <v>20.33</v>
      </c>
      <c r="L13" s="171">
        <v>20.08</v>
      </c>
      <c r="M13" s="171">
        <v>21</v>
      </c>
      <c r="N13" s="864" t="s">
        <v>498</v>
      </c>
      <c r="O13" s="71"/>
    </row>
    <row r="14" spans="1:15" ht="18" customHeight="1">
      <c r="A14" s="71"/>
      <c r="B14" s="168" t="s">
        <v>243</v>
      </c>
      <c r="C14" s="357"/>
      <c r="D14" s="358"/>
      <c r="E14" s="169">
        <v>5.34</v>
      </c>
      <c r="F14" s="169">
        <v>5.53</v>
      </c>
      <c r="G14" s="169">
        <v>5.64</v>
      </c>
      <c r="H14" s="169">
        <v>5.81</v>
      </c>
      <c r="I14" s="169">
        <v>6.02</v>
      </c>
      <c r="J14" s="169">
        <v>6.1</v>
      </c>
      <c r="K14" s="169">
        <v>6.23</v>
      </c>
      <c r="L14" s="169">
        <v>6.43</v>
      </c>
      <c r="M14" s="169">
        <v>6.43</v>
      </c>
      <c r="N14" s="836">
        <v>6.2</v>
      </c>
      <c r="O14" s="71"/>
    </row>
    <row r="15" spans="1:15" ht="12" customHeight="1">
      <c r="A15" s="71"/>
      <c r="B15" s="153"/>
      <c r="C15" s="154"/>
      <c r="D15" s="156"/>
      <c r="E15" s="160"/>
      <c r="F15" s="160"/>
      <c r="G15" s="160"/>
      <c r="H15" s="160"/>
      <c r="I15" s="160"/>
      <c r="J15" s="160"/>
      <c r="K15" s="160"/>
      <c r="L15" s="160"/>
      <c r="M15" s="160"/>
      <c r="N15" s="800"/>
      <c r="O15" s="71"/>
    </row>
    <row r="16" spans="1:15" ht="18" customHeight="1">
      <c r="A16" s="71"/>
      <c r="B16" s="179" t="s">
        <v>244</v>
      </c>
      <c r="C16" s="172"/>
      <c r="D16" s="185"/>
      <c r="E16" s="181">
        <v>11.855</v>
      </c>
      <c r="F16" s="181">
        <v>18.47</v>
      </c>
      <c r="G16" s="181">
        <v>13.202</v>
      </c>
      <c r="H16" s="181">
        <v>15.766</v>
      </c>
      <c r="I16" s="181">
        <v>11.098</v>
      </c>
      <c r="J16" s="181">
        <v>11.34</v>
      </c>
      <c r="K16" s="181">
        <v>10.063</v>
      </c>
      <c r="L16" s="181">
        <v>15.591</v>
      </c>
      <c r="M16" s="181">
        <v>16.871</v>
      </c>
      <c r="N16" s="832" t="s">
        <v>486</v>
      </c>
      <c r="O16" s="70"/>
    </row>
    <row r="17" spans="1:15" ht="12" customHeight="1">
      <c r="A17" s="71"/>
      <c r="B17" s="153"/>
      <c r="C17" s="154"/>
      <c r="D17" s="156"/>
      <c r="E17" s="160"/>
      <c r="F17" s="160"/>
      <c r="G17" s="160"/>
      <c r="H17" s="160"/>
      <c r="I17" s="160"/>
      <c r="J17" s="160"/>
      <c r="K17" s="160"/>
      <c r="L17" s="160"/>
      <c r="M17" s="160"/>
      <c r="N17" s="800"/>
      <c r="O17" s="70"/>
    </row>
    <row r="18" spans="1:15" ht="18" customHeight="1">
      <c r="A18" s="71"/>
      <c r="B18" s="179" t="s">
        <v>245</v>
      </c>
      <c r="C18" s="172"/>
      <c r="D18" s="185"/>
      <c r="E18" s="182">
        <v>1680</v>
      </c>
      <c r="F18" s="182">
        <v>2147</v>
      </c>
      <c r="G18" s="182">
        <v>2561</v>
      </c>
      <c r="H18" s="182">
        <v>2843</v>
      </c>
      <c r="I18" s="182">
        <v>2846</v>
      </c>
      <c r="J18" s="182">
        <v>2714</v>
      </c>
      <c r="K18" s="182">
        <v>2894</v>
      </c>
      <c r="L18" s="182">
        <v>3357</v>
      </c>
      <c r="M18" s="182">
        <v>4008</v>
      </c>
      <c r="N18" s="834">
        <v>4325</v>
      </c>
      <c r="O18" s="70"/>
    </row>
    <row r="19" spans="1:15" ht="18" customHeight="1">
      <c r="A19" s="71"/>
      <c r="B19" s="168" t="s">
        <v>43</v>
      </c>
      <c r="C19" s="357"/>
      <c r="D19" s="358"/>
      <c r="E19" s="180">
        <v>1579</v>
      </c>
      <c r="F19" s="180">
        <v>2026</v>
      </c>
      <c r="G19" s="180">
        <v>2441</v>
      </c>
      <c r="H19" s="180">
        <v>2673</v>
      </c>
      <c r="I19" s="180">
        <v>2673</v>
      </c>
      <c r="J19" s="180">
        <v>2539</v>
      </c>
      <c r="K19" s="180">
        <v>2734</v>
      </c>
      <c r="L19" s="180">
        <v>3180</v>
      </c>
      <c r="M19" s="180">
        <v>3825</v>
      </c>
      <c r="N19" s="835">
        <v>4137</v>
      </c>
      <c r="O19" s="70"/>
    </row>
    <row r="20" spans="1:15" ht="18" customHeight="1">
      <c r="A20" s="71"/>
      <c r="B20" s="168" t="s">
        <v>246</v>
      </c>
      <c r="C20" s="357"/>
      <c r="D20" s="358"/>
      <c r="E20" s="169">
        <v>5.5</v>
      </c>
      <c r="F20" s="169">
        <v>13</v>
      </c>
      <c r="G20" s="169">
        <v>13</v>
      </c>
      <c r="H20" s="169">
        <v>15</v>
      </c>
      <c r="I20" s="169">
        <v>15</v>
      </c>
      <c r="J20" s="169">
        <v>14</v>
      </c>
      <c r="K20" s="169">
        <v>8</v>
      </c>
      <c r="L20" s="169">
        <v>2.5</v>
      </c>
      <c r="M20" s="169">
        <v>4</v>
      </c>
      <c r="N20" s="836">
        <v>4.5</v>
      </c>
      <c r="O20" s="70"/>
    </row>
    <row r="21" spans="1:15" ht="18" customHeight="1">
      <c r="A21" s="71"/>
      <c r="B21" s="168" t="s">
        <v>44</v>
      </c>
      <c r="C21" s="357"/>
      <c r="D21" s="358"/>
      <c r="E21" s="169">
        <v>7.5</v>
      </c>
      <c r="F21" s="169">
        <v>12</v>
      </c>
      <c r="G21" s="169">
        <v>12</v>
      </c>
      <c r="H21" s="169">
        <v>15.3</v>
      </c>
      <c r="I21" s="169">
        <v>15.3</v>
      </c>
      <c r="J21" s="169">
        <v>15</v>
      </c>
      <c r="K21" s="169">
        <v>12</v>
      </c>
      <c r="L21" s="169">
        <v>0</v>
      </c>
      <c r="M21" s="169">
        <v>6.5</v>
      </c>
      <c r="N21" s="836">
        <v>5.6</v>
      </c>
      <c r="O21" s="70"/>
    </row>
    <row r="22" spans="1:15" ht="12" customHeight="1">
      <c r="A22" s="71"/>
      <c r="B22" s="153"/>
      <c r="C22" s="154"/>
      <c r="D22" s="156"/>
      <c r="E22" s="160"/>
      <c r="F22" s="160"/>
      <c r="G22" s="160"/>
      <c r="H22" s="160"/>
      <c r="I22" s="160"/>
      <c r="J22" s="160"/>
      <c r="K22" s="160"/>
      <c r="L22" s="160"/>
      <c r="M22" s="160"/>
      <c r="N22" s="800"/>
      <c r="O22" s="70"/>
    </row>
    <row r="23" spans="1:15" ht="18" customHeight="1">
      <c r="A23" s="71"/>
      <c r="B23" s="179" t="s">
        <v>460</v>
      </c>
      <c r="C23" s="172"/>
      <c r="D23" s="185"/>
      <c r="E23" s="183">
        <v>30.37</v>
      </c>
      <c r="F23" s="183">
        <v>29.5</v>
      </c>
      <c r="G23" s="183">
        <v>30.46</v>
      </c>
      <c r="H23" s="183">
        <v>31.65</v>
      </c>
      <c r="I23" s="183">
        <v>34.56</v>
      </c>
      <c r="J23" s="183">
        <v>32.14</v>
      </c>
      <c r="K23" s="183">
        <v>25.39</v>
      </c>
      <c r="L23" s="183">
        <v>29.41</v>
      </c>
      <c r="M23" s="183">
        <v>32.22</v>
      </c>
      <c r="N23" s="865" t="s">
        <v>499</v>
      </c>
      <c r="O23" s="70"/>
    </row>
    <row r="24" spans="1:15" ht="12" customHeight="1">
      <c r="A24" s="70"/>
      <c r="B24" s="157"/>
      <c r="C24" s="158"/>
      <c r="D24" s="159"/>
      <c r="E24" s="161"/>
      <c r="F24" s="161"/>
      <c r="G24" s="161"/>
      <c r="H24" s="161"/>
      <c r="I24" s="161"/>
      <c r="J24" s="161"/>
      <c r="K24" s="161"/>
      <c r="L24" s="161"/>
      <c r="M24" s="161"/>
      <c r="N24" s="800"/>
      <c r="O24" s="70"/>
    </row>
    <row r="25" spans="1:15" ht="15" customHeight="1">
      <c r="A25" s="70"/>
      <c r="B25" s="179" t="s">
        <v>337</v>
      </c>
      <c r="C25" s="184"/>
      <c r="D25" s="186"/>
      <c r="E25" s="183">
        <v>6.75</v>
      </c>
      <c r="F25" s="183">
        <v>6.6</v>
      </c>
      <c r="G25" s="183">
        <v>6.59</v>
      </c>
      <c r="H25" s="183">
        <v>6.61</v>
      </c>
      <c r="I25" s="183">
        <v>7.54</v>
      </c>
      <c r="J25" s="183">
        <v>9.23</v>
      </c>
      <c r="K25" s="183">
        <v>6.74</v>
      </c>
      <c r="L25" s="183">
        <v>5.28</v>
      </c>
      <c r="M25" s="183">
        <v>6.89</v>
      </c>
      <c r="N25" s="859" t="s">
        <v>493</v>
      </c>
      <c r="O25" s="70"/>
    </row>
    <row r="26" spans="1:15" ht="12" customHeight="1">
      <c r="A26" s="70"/>
      <c r="B26" s="157"/>
      <c r="C26" s="158"/>
      <c r="D26" s="159"/>
      <c r="E26" s="161"/>
      <c r="F26" s="161"/>
      <c r="G26" s="161"/>
      <c r="H26" s="161"/>
      <c r="I26" s="161"/>
      <c r="J26" s="161"/>
      <c r="K26" s="161"/>
      <c r="L26" s="161"/>
      <c r="M26" s="161"/>
      <c r="N26" s="801"/>
      <c r="O26" s="70"/>
    </row>
    <row r="27" spans="1:15" ht="12.75" customHeight="1">
      <c r="A27" s="70"/>
      <c r="B27" s="885" t="s">
        <v>461</v>
      </c>
      <c r="C27" s="886"/>
      <c r="D27" s="887"/>
      <c r="E27" s="877">
        <v>250.33</v>
      </c>
      <c r="F27" s="891">
        <v>252.43</v>
      </c>
      <c r="G27" s="877">
        <v>260.37</v>
      </c>
      <c r="H27" s="877">
        <v>263.2</v>
      </c>
      <c r="I27" s="877">
        <v>310.91</v>
      </c>
      <c r="J27" s="877">
        <v>494.95</v>
      </c>
      <c r="K27" s="877">
        <v>390.03</v>
      </c>
      <c r="L27" s="877">
        <v>288.93</v>
      </c>
      <c r="M27" s="877">
        <v>418.61</v>
      </c>
      <c r="N27" s="893" t="s">
        <v>494</v>
      </c>
      <c r="O27" s="70"/>
    </row>
    <row r="28" spans="1:15" ht="15" customHeight="1">
      <c r="A28" s="70"/>
      <c r="B28" s="888"/>
      <c r="C28" s="889"/>
      <c r="D28" s="890"/>
      <c r="E28" s="878"/>
      <c r="F28" s="892"/>
      <c r="G28" s="878"/>
      <c r="H28" s="878"/>
      <c r="I28" s="878"/>
      <c r="J28" s="878"/>
      <c r="K28" s="878"/>
      <c r="L28" s="878"/>
      <c r="M28" s="878"/>
      <c r="N28" s="894"/>
      <c r="O28" s="70"/>
    </row>
    <row r="29" spans="1:15" ht="15" customHeight="1">
      <c r="A29" s="70"/>
      <c r="B29" s="187" t="s">
        <v>45</v>
      </c>
      <c r="C29" s="162"/>
      <c r="D29" s="162"/>
      <c r="E29" s="162"/>
      <c r="F29" s="162"/>
      <c r="G29" s="162"/>
      <c r="H29" s="162"/>
      <c r="I29" s="162"/>
      <c r="J29" s="162"/>
      <c r="K29" s="833" t="s">
        <v>487</v>
      </c>
      <c r="L29" s="162"/>
      <c r="M29" s="162"/>
      <c r="N29" s="162"/>
      <c r="O29" s="70"/>
    </row>
    <row r="30" spans="1:15" ht="12.75" customHeight="1">
      <c r="A30" s="70"/>
      <c r="B30" s="359" t="s">
        <v>444</v>
      </c>
      <c r="C30" s="70"/>
      <c r="D30" s="70"/>
      <c r="E30" s="70"/>
      <c r="F30" s="70"/>
      <c r="G30" s="73" t="s">
        <v>445</v>
      </c>
      <c r="H30" s="70"/>
      <c r="I30" s="359" t="s">
        <v>338</v>
      </c>
      <c r="J30" s="70"/>
      <c r="K30" s="73" t="s">
        <v>446</v>
      </c>
      <c r="L30" s="70"/>
      <c r="M30" s="70"/>
      <c r="N30" s="70"/>
      <c r="O30" s="70"/>
    </row>
    <row r="31" ht="13.5" customHeight="1"/>
    <row r="33" ht="12.75" customHeight="1"/>
    <row r="34" ht="12.75" customHeight="1"/>
    <row r="36" ht="12.75" customHeight="1"/>
    <row r="37" ht="13.5" customHeight="1"/>
  </sheetData>
  <sheetProtection/>
  <mergeCells count="13">
    <mergeCell ref="K27:K28"/>
    <mergeCell ref="L27:L28"/>
    <mergeCell ref="M27:M28"/>
    <mergeCell ref="B2:N2"/>
    <mergeCell ref="B4:D4"/>
    <mergeCell ref="B27:D28"/>
    <mergeCell ref="E27:E28"/>
    <mergeCell ref="F27:F28"/>
    <mergeCell ref="G27:G28"/>
    <mergeCell ref="H27:H28"/>
    <mergeCell ref="N27:N28"/>
    <mergeCell ref="I27:I28"/>
    <mergeCell ref="J27:J2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2.7109375" style="0" customWidth="1"/>
    <col min="4" max="10" width="14.7109375" style="0" customWidth="1"/>
    <col min="11" max="11" width="7.7109375" style="0" customWidth="1"/>
    <col min="12" max="12" width="2.7109375" style="0" customWidth="1"/>
  </cols>
  <sheetData>
    <row r="1" spans="1:12" ht="18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69"/>
    </row>
    <row r="2" spans="1:12" ht="27" customHeight="1">
      <c r="A2" s="74"/>
      <c r="B2" s="879"/>
      <c r="C2" s="880"/>
      <c r="D2" s="880"/>
      <c r="E2" s="880"/>
      <c r="F2" s="880"/>
      <c r="G2" s="880"/>
      <c r="H2" s="880"/>
      <c r="I2" s="880"/>
      <c r="J2" s="880"/>
      <c r="K2" s="881"/>
      <c r="L2" s="70"/>
    </row>
    <row r="3" spans="1:12" ht="21.75" customHeight="1">
      <c r="A3" s="74"/>
      <c r="B3" s="114"/>
      <c r="C3" s="141"/>
      <c r="D3" s="141"/>
      <c r="E3" s="141"/>
      <c r="F3" s="141"/>
      <c r="G3" s="141"/>
      <c r="H3" s="141"/>
      <c r="I3" s="141"/>
      <c r="J3" s="141"/>
      <c r="K3" s="122"/>
      <c r="L3" s="71"/>
    </row>
    <row r="4" spans="1:12" ht="19.5" customHeight="1">
      <c r="A4" s="74"/>
      <c r="B4" s="114"/>
      <c r="C4" s="902" t="s">
        <v>46</v>
      </c>
      <c r="D4" s="902"/>
      <c r="E4" s="902"/>
      <c r="F4" s="902"/>
      <c r="G4" s="902"/>
      <c r="H4" s="902"/>
      <c r="I4" s="902"/>
      <c r="J4" s="902"/>
      <c r="K4" s="122"/>
      <c r="L4" s="71"/>
    </row>
    <row r="5" spans="1:12" ht="19.5" customHeight="1">
      <c r="A5" s="74"/>
      <c r="B5" s="114"/>
      <c r="C5" s="429"/>
      <c r="D5" s="429"/>
      <c r="E5" s="429"/>
      <c r="F5" s="429"/>
      <c r="G5" s="429"/>
      <c r="H5" s="429"/>
      <c r="I5" s="429"/>
      <c r="J5" s="429"/>
      <c r="K5" s="122"/>
      <c r="L5" s="71"/>
    </row>
    <row r="6" spans="1:12" ht="19.5" customHeight="1">
      <c r="A6" s="74"/>
      <c r="B6" s="114"/>
      <c r="C6" s="903" t="s">
        <v>47</v>
      </c>
      <c r="D6" s="903"/>
      <c r="E6" s="903"/>
      <c r="F6" s="903"/>
      <c r="G6" s="903"/>
      <c r="H6" s="903"/>
      <c r="I6" s="903"/>
      <c r="J6" s="903"/>
      <c r="K6" s="122"/>
      <c r="L6" s="71"/>
    </row>
    <row r="7" spans="1:12" ht="21" customHeight="1">
      <c r="A7" s="74"/>
      <c r="B7" s="115"/>
      <c r="C7" s="895" t="s">
        <v>48</v>
      </c>
      <c r="D7" s="897" t="s">
        <v>49</v>
      </c>
      <c r="E7" s="898"/>
      <c r="F7" s="899"/>
      <c r="G7" s="897" t="s">
        <v>50</v>
      </c>
      <c r="H7" s="898"/>
      <c r="I7" s="899"/>
      <c r="J7" s="900" t="s">
        <v>51</v>
      </c>
      <c r="K7" s="119"/>
      <c r="L7" s="71"/>
    </row>
    <row r="8" spans="1:12" ht="21" customHeight="1">
      <c r="A8" s="74"/>
      <c r="B8" s="115"/>
      <c r="C8" s="896"/>
      <c r="D8" s="348" t="s">
        <v>52</v>
      </c>
      <c r="E8" s="348" t="s">
        <v>53</v>
      </c>
      <c r="F8" s="348" t="s">
        <v>3</v>
      </c>
      <c r="G8" s="348" t="s">
        <v>54</v>
      </c>
      <c r="H8" s="348" t="s">
        <v>55</v>
      </c>
      <c r="I8" s="348" t="s">
        <v>3</v>
      </c>
      <c r="J8" s="901"/>
      <c r="K8" s="119"/>
      <c r="L8" s="71"/>
    </row>
    <row r="9" spans="1:12" ht="19.5" customHeight="1">
      <c r="A9" s="74"/>
      <c r="B9" s="115"/>
      <c r="C9" s="347">
        <v>2004</v>
      </c>
      <c r="D9" s="10">
        <v>7723</v>
      </c>
      <c r="E9" s="10">
        <v>783</v>
      </c>
      <c r="F9" s="10">
        <f aca="true" t="shared" si="0" ref="F9:F18">SUM(D9:E9)</f>
        <v>8506</v>
      </c>
      <c r="G9" s="10">
        <v>4290</v>
      </c>
      <c r="H9" s="10">
        <v>454</v>
      </c>
      <c r="I9" s="10">
        <f aca="true" t="shared" si="1" ref="I9:I18">SUM(G9:H9)</f>
        <v>4744</v>
      </c>
      <c r="J9" s="11">
        <f aca="true" t="shared" si="2" ref="J9:J18">F9+I9</f>
        <v>13250</v>
      </c>
      <c r="K9" s="119"/>
      <c r="L9" s="71"/>
    </row>
    <row r="10" spans="1:12" ht="19.5" customHeight="1">
      <c r="A10" s="74"/>
      <c r="B10" s="115"/>
      <c r="C10" s="349">
        <v>2005</v>
      </c>
      <c r="D10" s="10">
        <v>10872</v>
      </c>
      <c r="E10" s="10">
        <v>1172</v>
      </c>
      <c r="F10" s="10">
        <f t="shared" si="0"/>
        <v>12044</v>
      </c>
      <c r="G10" s="10">
        <v>3191</v>
      </c>
      <c r="H10" s="10">
        <v>182</v>
      </c>
      <c r="I10" s="10">
        <f t="shared" si="1"/>
        <v>3373</v>
      </c>
      <c r="J10" s="11">
        <f t="shared" si="2"/>
        <v>15417</v>
      </c>
      <c r="K10" s="119"/>
      <c r="L10" s="71"/>
    </row>
    <row r="11" spans="1:12" ht="19.5" customHeight="1">
      <c r="A11" s="74"/>
      <c r="B11" s="115"/>
      <c r="C11" s="349">
        <v>2006</v>
      </c>
      <c r="D11" s="10">
        <f>9278</f>
        <v>9278</v>
      </c>
      <c r="E11" s="10">
        <v>446</v>
      </c>
      <c r="F11" s="10">
        <f t="shared" si="0"/>
        <v>9724</v>
      </c>
      <c r="G11" s="10">
        <v>1949</v>
      </c>
      <c r="H11" s="10">
        <v>182</v>
      </c>
      <c r="I11" s="10">
        <f t="shared" si="1"/>
        <v>2131</v>
      </c>
      <c r="J11" s="11">
        <f t="shared" si="2"/>
        <v>11855</v>
      </c>
      <c r="K11" s="119"/>
      <c r="L11" s="71"/>
    </row>
    <row r="12" spans="1:12" ht="19.5" customHeight="1">
      <c r="A12" s="74"/>
      <c r="B12" s="115"/>
      <c r="C12" s="349">
        <v>2007</v>
      </c>
      <c r="D12" s="10">
        <f>16781</f>
        <v>16781</v>
      </c>
      <c r="E12" s="10">
        <v>803</v>
      </c>
      <c r="F12" s="10">
        <f t="shared" si="0"/>
        <v>17584</v>
      </c>
      <c r="G12" s="10">
        <v>704</v>
      </c>
      <c r="H12" s="10">
        <v>182</v>
      </c>
      <c r="I12" s="10">
        <f t="shared" si="1"/>
        <v>886</v>
      </c>
      <c r="J12" s="11">
        <f t="shared" si="2"/>
        <v>18470</v>
      </c>
      <c r="K12" s="119"/>
      <c r="L12" s="71"/>
    </row>
    <row r="13" spans="1:12" ht="19.5" customHeight="1">
      <c r="A13" s="74"/>
      <c r="B13" s="115"/>
      <c r="C13" s="349">
        <v>2008</v>
      </c>
      <c r="D13" s="10">
        <v>11490</v>
      </c>
      <c r="E13" s="10">
        <v>1013</v>
      </c>
      <c r="F13" s="10">
        <f t="shared" si="0"/>
        <v>12503</v>
      </c>
      <c r="G13" s="10">
        <v>521</v>
      </c>
      <c r="H13" s="10">
        <v>178</v>
      </c>
      <c r="I13" s="10">
        <f t="shared" si="1"/>
        <v>699</v>
      </c>
      <c r="J13" s="11">
        <f t="shared" si="2"/>
        <v>13202</v>
      </c>
      <c r="K13" s="119"/>
      <c r="L13" s="71"/>
    </row>
    <row r="14" spans="1:12" ht="19.5" customHeight="1">
      <c r="A14" s="74"/>
      <c r="B14" s="115"/>
      <c r="C14" s="349">
        <v>2009</v>
      </c>
      <c r="D14" s="10">
        <v>14005</v>
      </c>
      <c r="E14" s="10">
        <v>651</v>
      </c>
      <c r="F14" s="10">
        <f t="shared" si="0"/>
        <v>14656</v>
      </c>
      <c r="G14" s="10">
        <v>494</v>
      </c>
      <c r="H14" s="10">
        <v>616</v>
      </c>
      <c r="I14" s="10">
        <f t="shared" si="1"/>
        <v>1110</v>
      </c>
      <c r="J14" s="11">
        <f t="shared" si="2"/>
        <v>15766</v>
      </c>
      <c r="K14" s="119"/>
      <c r="L14" s="71"/>
    </row>
    <row r="15" spans="1:12" ht="19.5" customHeight="1">
      <c r="A15" s="74"/>
      <c r="B15" s="115"/>
      <c r="C15" s="349">
        <v>2010</v>
      </c>
      <c r="D15" s="10">
        <v>8245</v>
      </c>
      <c r="E15" s="10">
        <v>699</v>
      </c>
      <c r="F15" s="10">
        <f t="shared" si="0"/>
        <v>8944</v>
      </c>
      <c r="G15" s="10">
        <v>506</v>
      </c>
      <c r="H15" s="10">
        <v>1648</v>
      </c>
      <c r="I15" s="10">
        <f t="shared" si="1"/>
        <v>2154</v>
      </c>
      <c r="J15" s="11">
        <f t="shared" si="2"/>
        <v>11098</v>
      </c>
      <c r="K15" s="119"/>
      <c r="L15" s="71"/>
    </row>
    <row r="16" spans="1:12" ht="19.5" customHeight="1">
      <c r="A16" s="74"/>
      <c r="B16" s="115"/>
      <c r="C16" s="349">
        <v>2011</v>
      </c>
      <c r="D16" s="10">
        <v>8233</v>
      </c>
      <c r="E16" s="10">
        <v>1005</v>
      </c>
      <c r="F16" s="10">
        <f t="shared" si="0"/>
        <v>9238</v>
      </c>
      <c r="G16" s="10">
        <v>487</v>
      </c>
      <c r="H16" s="10">
        <v>1615</v>
      </c>
      <c r="I16" s="10">
        <f t="shared" si="1"/>
        <v>2102</v>
      </c>
      <c r="J16" s="11">
        <f t="shared" si="2"/>
        <v>11340</v>
      </c>
      <c r="K16" s="119"/>
      <c r="L16" s="71"/>
    </row>
    <row r="17" spans="1:12" ht="19.5" customHeight="1">
      <c r="A17" s="74"/>
      <c r="B17" s="115"/>
      <c r="C17" s="349">
        <v>2012</v>
      </c>
      <c r="D17" s="10">
        <v>7722</v>
      </c>
      <c r="E17" s="10">
        <v>693</v>
      </c>
      <c r="F17" s="10">
        <f t="shared" si="0"/>
        <v>8415</v>
      </c>
      <c r="G17" s="10">
        <v>33.419</v>
      </c>
      <c r="H17" s="10">
        <v>1614.56</v>
      </c>
      <c r="I17" s="10">
        <f t="shared" si="1"/>
        <v>1647.979</v>
      </c>
      <c r="J17" s="11">
        <f t="shared" si="2"/>
        <v>10062.979</v>
      </c>
      <c r="K17" s="119"/>
      <c r="L17" s="70"/>
    </row>
    <row r="18" spans="1:12" ht="19.5" customHeight="1">
      <c r="A18" s="74"/>
      <c r="B18" s="115"/>
      <c r="C18" s="349">
        <v>2013</v>
      </c>
      <c r="D18" s="10">
        <v>12366</v>
      </c>
      <c r="E18" s="10">
        <v>1572</v>
      </c>
      <c r="F18" s="10">
        <f t="shared" si="0"/>
        <v>13938</v>
      </c>
      <c r="G18" s="10">
        <v>33.419</v>
      </c>
      <c r="H18" s="12">
        <v>1619.6645166666665</v>
      </c>
      <c r="I18" s="10">
        <f t="shared" si="1"/>
        <v>1653.0835166666666</v>
      </c>
      <c r="J18" s="11">
        <f t="shared" si="2"/>
        <v>15591.083516666666</v>
      </c>
      <c r="K18" s="119"/>
      <c r="L18" s="70"/>
    </row>
    <row r="19" spans="1:12" ht="19.5" customHeight="1">
      <c r="A19" s="74"/>
      <c r="B19" s="115"/>
      <c r="C19" s="349">
        <v>2014</v>
      </c>
      <c r="D19" s="12">
        <v>14163</v>
      </c>
      <c r="E19" s="12">
        <v>1055</v>
      </c>
      <c r="F19" s="10">
        <f>SUM(D19:E19)</f>
        <v>15218</v>
      </c>
      <c r="G19" s="10">
        <v>33.419</v>
      </c>
      <c r="H19" s="12">
        <v>1619.6645166666665</v>
      </c>
      <c r="I19" s="10">
        <f>SUM(G19:H19)</f>
        <v>1653.0835166666666</v>
      </c>
      <c r="J19" s="11">
        <f>F19+I19</f>
        <v>16871.083516666666</v>
      </c>
      <c r="K19" s="119"/>
      <c r="L19" s="70"/>
    </row>
    <row r="20" spans="1:12" ht="19.5" customHeight="1">
      <c r="A20" s="74"/>
      <c r="B20" s="115"/>
      <c r="C20" s="349">
        <v>2015</v>
      </c>
      <c r="D20" s="12">
        <v>12983</v>
      </c>
      <c r="E20" s="12">
        <v>1386.03</v>
      </c>
      <c r="F20" s="10">
        <f>SUM(D20:E20)</f>
        <v>14369.03</v>
      </c>
      <c r="G20" s="10">
        <v>0</v>
      </c>
      <c r="H20" s="12">
        <v>1573.80851</v>
      </c>
      <c r="I20" s="10">
        <f>SUM(G20:H20)</f>
        <v>1573.80851</v>
      </c>
      <c r="J20" s="11">
        <f>F20+I20</f>
        <v>15942.838510000001</v>
      </c>
      <c r="K20" s="119"/>
      <c r="L20" s="70"/>
    </row>
    <row r="21" spans="1:12" ht="19.5" customHeight="1">
      <c r="A21" s="74"/>
      <c r="B21" s="115"/>
      <c r="C21" s="143" t="s">
        <v>56</v>
      </c>
      <c r="D21" s="144"/>
      <c r="E21" s="144"/>
      <c r="F21" s="144"/>
      <c r="G21" s="144"/>
      <c r="H21" s="144"/>
      <c r="I21" s="144"/>
      <c r="J21" s="144"/>
      <c r="K21" s="119"/>
      <c r="L21" s="70"/>
    </row>
    <row r="22" spans="1:12" ht="19.5" customHeight="1">
      <c r="A22" s="74"/>
      <c r="B22" s="133"/>
      <c r="C22" s="519" t="s">
        <v>406</v>
      </c>
      <c r="D22" s="126"/>
      <c r="E22" s="134"/>
      <c r="F22" s="126"/>
      <c r="G22" s="134"/>
      <c r="H22" s="126"/>
      <c r="I22" s="126"/>
      <c r="J22" s="126"/>
      <c r="K22" s="145"/>
      <c r="L22" s="70"/>
    </row>
    <row r="23" spans="1:12" ht="17.25" customHeight="1">
      <c r="A23" s="74"/>
      <c r="B23" s="128"/>
      <c r="C23" s="203"/>
      <c r="D23" s="129"/>
      <c r="E23" s="129"/>
      <c r="F23" s="129"/>
      <c r="G23" s="129"/>
      <c r="H23" s="129"/>
      <c r="I23" s="129"/>
      <c r="J23" s="129"/>
      <c r="K23" s="147"/>
      <c r="L23" s="70"/>
    </row>
    <row r="24" spans="1:12" ht="18" customHeight="1">
      <c r="A24" s="70"/>
      <c r="B24" s="70"/>
      <c r="C24" s="204"/>
      <c r="D24" s="70"/>
      <c r="E24" s="70"/>
      <c r="F24" s="70"/>
      <c r="G24" s="70"/>
      <c r="H24" s="70"/>
      <c r="I24" s="70"/>
      <c r="J24" s="70"/>
      <c r="K24" s="70"/>
      <c r="L24" s="70"/>
    </row>
    <row r="25" ht="12.75">
      <c r="C25" s="4"/>
    </row>
  </sheetData>
  <sheetProtection/>
  <mergeCells count="7">
    <mergeCell ref="B2:K2"/>
    <mergeCell ref="C7:C8"/>
    <mergeCell ref="D7:F7"/>
    <mergeCell ref="G7:I7"/>
    <mergeCell ref="J7:J8"/>
    <mergeCell ref="C4:J4"/>
    <mergeCell ref="C6:J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2.7109375" style="0" customWidth="1"/>
    <col min="2" max="2" width="13.28125" style="0" customWidth="1"/>
    <col min="3" max="3" width="8.28125" style="0" customWidth="1"/>
    <col min="4" max="4" width="8.140625" style="0" customWidth="1"/>
    <col min="5" max="5" width="8.28125" style="0" customWidth="1"/>
    <col min="6" max="6" width="8.140625" style="0" customWidth="1"/>
    <col min="7" max="7" width="8.28125" style="0" customWidth="1"/>
    <col min="8" max="8" width="12.7109375" style="0" customWidth="1"/>
    <col min="9" max="9" width="10.28125" style="0" customWidth="1"/>
    <col min="10" max="10" width="8.421875" style="0" customWidth="1"/>
    <col min="11" max="11" width="11.421875" style="0" bestFit="1" customWidth="1"/>
    <col min="12" max="12" width="14.00390625" style="0" customWidth="1"/>
    <col min="13" max="13" width="9.28125" style="0" customWidth="1"/>
    <col min="14" max="14" width="10.140625" style="0" bestFit="1" customWidth="1"/>
    <col min="15" max="15" width="2.7109375" style="0" customWidth="1"/>
    <col min="255" max="255" width="3.28125" style="0" customWidth="1"/>
    <col min="256" max="16384" width="13.28125" style="0" customWidth="1"/>
  </cols>
  <sheetData>
    <row r="1" spans="1:15" ht="18" customHeight="1">
      <c r="A1" s="6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9"/>
    </row>
    <row r="2" spans="1:15" ht="21" customHeight="1">
      <c r="A2" s="74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5"/>
      <c r="O2" s="70"/>
    </row>
    <row r="3" spans="1:15" ht="18.75" customHeight="1">
      <c r="A3" s="7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70"/>
    </row>
    <row r="4" spans="1:15" ht="19.5" customHeight="1">
      <c r="A4" s="74"/>
      <c r="B4" s="114"/>
      <c r="C4" s="115"/>
      <c r="D4" s="115"/>
      <c r="E4" s="115"/>
      <c r="F4" s="115"/>
      <c r="G4" s="115"/>
      <c r="H4" s="649"/>
      <c r="I4" s="649"/>
      <c r="J4" s="649"/>
      <c r="K4" s="649"/>
      <c r="L4" s="649"/>
      <c r="M4" s="649"/>
      <c r="N4" s="116"/>
      <c r="O4" s="71"/>
    </row>
    <row r="5" spans="1:15" ht="19.5" customHeight="1">
      <c r="A5" s="74"/>
      <c r="B5" s="115"/>
      <c r="C5" s="115"/>
      <c r="D5" s="115"/>
      <c r="E5" s="115"/>
      <c r="F5" s="115"/>
      <c r="G5" s="115"/>
      <c r="H5" s="906"/>
      <c r="I5" s="906"/>
      <c r="J5" s="906"/>
      <c r="K5" s="649"/>
      <c r="L5" s="649"/>
      <c r="M5" s="649"/>
      <c r="N5" s="118"/>
      <c r="O5" s="71"/>
    </row>
    <row r="6" spans="1:15" ht="19.5" customHeight="1">
      <c r="A6" s="74"/>
      <c r="B6" s="650"/>
      <c r="C6" s="907"/>
      <c r="D6" s="907"/>
      <c r="E6" s="906"/>
      <c r="F6" s="906"/>
      <c r="G6" s="733"/>
      <c r="H6" s="650"/>
      <c r="I6" s="650"/>
      <c r="J6" s="650"/>
      <c r="K6" s="908"/>
      <c r="L6" s="908"/>
      <c r="M6" s="908"/>
      <c r="N6" s="909"/>
      <c r="O6" s="71"/>
    </row>
    <row r="7" spans="1:17" ht="19.5" customHeight="1">
      <c r="A7" s="74"/>
      <c r="B7" s="115"/>
      <c r="C7" s="120"/>
      <c r="D7" s="120"/>
      <c r="E7" s="120"/>
      <c r="F7" s="120"/>
      <c r="G7" s="120"/>
      <c r="H7" s="651"/>
      <c r="I7" s="651"/>
      <c r="J7" s="651"/>
      <c r="K7" s="652"/>
      <c r="L7" s="652"/>
      <c r="M7" s="652"/>
      <c r="N7" s="121"/>
      <c r="O7" s="71"/>
      <c r="Q7" t="s">
        <v>448</v>
      </c>
    </row>
    <row r="8" spans="1:15" ht="19.5" customHeight="1">
      <c r="A8" s="74"/>
      <c r="B8" s="115"/>
      <c r="C8" s="120"/>
      <c r="D8" s="120"/>
      <c r="E8" s="653"/>
      <c r="F8" s="120"/>
      <c r="G8" s="653"/>
      <c r="H8" s="651"/>
      <c r="I8" s="651"/>
      <c r="J8" s="651"/>
      <c r="K8" s="654"/>
      <c r="L8" s="654"/>
      <c r="M8" s="654"/>
      <c r="N8" s="123"/>
      <c r="O8" s="71"/>
    </row>
    <row r="9" spans="1:15" ht="19.5" customHeight="1">
      <c r="A9" s="74"/>
      <c r="B9" s="115"/>
      <c r="C9" s="120"/>
      <c r="D9" s="120"/>
      <c r="E9" s="653"/>
      <c r="F9" s="120"/>
      <c r="G9" s="653"/>
      <c r="H9" s="651"/>
      <c r="I9" s="651"/>
      <c r="J9" s="651"/>
      <c r="K9" s="654"/>
      <c r="L9" s="654"/>
      <c r="M9" s="654"/>
      <c r="N9" s="123"/>
      <c r="O9" s="71"/>
    </row>
    <row r="10" spans="1:15" ht="19.5" customHeight="1">
      <c r="A10" s="74"/>
      <c r="B10" s="115"/>
      <c r="C10" s="120"/>
      <c r="D10" s="120"/>
      <c r="E10" s="653"/>
      <c r="F10" s="120"/>
      <c r="G10" s="653"/>
      <c r="H10" s="651"/>
      <c r="I10" s="651"/>
      <c r="J10" s="651"/>
      <c r="K10" s="654"/>
      <c r="L10" s="654"/>
      <c r="M10" s="654"/>
      <c r="N10" s="123"/>
      <c r="O10" s="71"/>
    </row>
    <row r="11" spans="1:15" ht="19.5" customHeight="1">
      <c r="A11" s="74"/>
      <c r="B11" s="115"/>
      <c r="C11" s="120"/>
      <c r="D11" s="120"/>
      <c r="E11" s="653"/>
      <c r="F11" s="120"/>
      <c r="G11" s="653"/>
      <c r="H11" s="651"/>
      <c r="I11" s="651"/>
      <c r="J11" s="651"/>
      <c r="K11" s="654"/>
      <c r="L11" s="654"/>
      <c r="M11" s="654"/>
      <c r="N11" s="123"/>
      <c r="O11" s="71"/>
    </row>
    <row r="12" spans="1:15" ht="19.5" customHeight="1">
      <c r="A12" s="74"/>
      <c r="B12" s="115"/>
      <c r="C12" s="120"/>
      <c r="D12" s="120"/>
      <c r="E12" s="120"/>
      <c r="F12" s="120"/>
      <c r="G12" s="653"/>
      <c r="H12" s="651"/>
      <c r="I12" s="651"/>
      <c r="J12" s="651"/>
      <c r="K12" s="654"/>
      <c r="L12" s="654"/>
      <c r="M12" s="654"/>
      <c r="N12" s="123"/>
      <c r="O12" s="71"/>
    </row>
    <row r="13" spans="1:15" ht="19.5" customHeight="1">
      <c r="A13" s="74"/>
      <c r="B13" s="115"/>
      <c r="C13" s="120"/>
      <c r="D13" s="120"/>
      <c r="E13" s="653"/>
      <c r="F13" s="120"/>
      <c r="G13" s="653"/>
      <c r="H13" s="651"/>
      <c r="I13" s="651"/>
      <c r="J13" s="651"/>
      <c r="K13" s="654"/>
      <c r="L13" s="654"/>
      <c r="M13" s="654"/>
      <c r="N13" s="123"/>
      <c r="O13" s="71"/>
    </row>
    <row r="14" spans="1:15" ht="19.5" customHeight="1">
      <c r="A14" s="74"/>
      <c r="B14" s="115"/>
      <c r="C14" s="120"/>
      <c r="D14" s="120"/>
      <c r="E14" s="120"/>
      <c r="F14" s="120"/>
      <c r="G14" s="120"/>
      <c r="H14" s="651"/>
      <c r="I14" s="651"/>
      <c r="J14" s="651"/>
      <c r="K14" s="655"/>
      <c r="L14" s="654"/>
      <c r="M14" s="654"/>
      <c r="N14" s="123"/>
      <c r="O14" s="71"/>
    </row>
    <row r="15" spans="1:15" ht="19.5" customHeight="1">
      <c r="A15" s="74"/>
      <c r="B15" s="115"/>
      <c r="C15" s="120"/>
      <c r="D15" s="120"/>
      <c r="E15" s="653"/>
      <c r="F15" s="120"/>
      <c r="G15" s="653"/>
      <c r="H15" s="651"/>
      <c r="I15" s="651"/>
      <c r="J15" s="651"/>
      <c r="K15" s="655"/>
      <c r="L15" s="655"/>
      <c r="M15" s="656"/>
      <c r="N15" s="125"/>
      <c r="O15" s="71"/>
    </row>
    <row r="16" spans="1:15" ht="19.5" customHeight="1">
      <c r="A16" s="74"/>
      <c r="B16" s="115"/>
      <c r="C16" s="120"/>
      <c r="D16" s="120"/>
      <c r="E16" s="653"/>
      <c r="F16" s="120"/>
      <c r="G16" s="653"/>
      <c r="H16" s="651"/>
      <c r="I16" s="651"/>
      <c r="J16" s="651"/>
      <c r="K16" s="657"/>
      <c r="L16" s="657"/>
      <c r="M16" s="657"/>
      <c r="N16" s="125"/>
      <c r="O16" s="71"/>
    </row>
    <row r="17" spans="1:15" ht="19.5" customHeight="1">
      <c r="A17" s="74"/>
      <c r="B17" s="115"/>
      <c r="C17" s="120"/>
      <c r="D17" s="120"/>
      <c r="E17" s="653"/>
      <c r="F17" s="120"/>
      <c r="G17" s="653"/>
      <c r="H17" s="651"/>
      <c r="I17" s="651"/>
      <c r="J17" s="651"/>
      <c r="K17" s="649"/>
      <c r="L17" s="658"/>
      <c r="M17" s="658"/>
      <c r="N17" s="116"/>
      <c r="O17" s="70"/>
    </row>
    <row r="18" spans="1:15" ht="19.5" customHeight="1">
      <c r="A18" s="74"/>
      <c r="B18" s="115"/>
      <c r="C18" s="120"/>
      <c r="D18" s="120"/>
      <c r="E18" s="653"/>
      <c r="F18" s="120"/>
      <c r="G18" s="653"/>
      <c r="H18" s="651"/>
      <c r="I18" s="651"/>
      <c r="J18" s="651"/>
      <c r="K18" s="649"/>
      <c r="L18" s="649"/>
      <c r="M18" s="649"/>
      <c r="N18" s="116"/>
      <c r="O18" s="70"/>
    </row>
    <row r="19" spans="1:15" ht="19.5" customHeight="1">
      <c r="A19" s="74"/>
      <c r="B19" s="115"/>
      <c r="C19" s="120"/>
      <c r="D19" s="120"/>
      <c r="E19" s="653"/>
      <c r="F19" s="120"/>
      <c r="G19" s="653"/>
      <c r="H19" s="651"/>
      <c r="I19" s="651"/>
      <c r="J19" s="651"/>
      <c r="K19" s="649"/>
      <c r="L19" s="649"/>
      <c r="M19" s="649"/>
      <c r="N19" s="116"/>
      <c r="O19" s="70"/>
    </row>
    <row r="20" spans="1:15" ht="19.5" customHeight="1">
      <c r="A20" s="74"/>
      <c r="B20" s="115"/>
      <c r="C20" s="120"/>
      <c r="D20" s="120"/>
      <c r="E20" s="653"/>
      <c r="F20" s="120"/>
      <c r="G20" s="653"/>
      <c r="H20" s="651"/>
      <c r="I20" s="651"/>
      <c r="J20" s="651"/>
      <c r="K20" s="649"/>
      <c r="L20" s="649"/>
      <c r="M20" s="649"/>
      <c r="N20" s="116"/>
      <c r="O20" s="70"/>
    </row>
    <row r="21" spans="1:15" ht="19.5" customHeight="1">
      <c r="A21" s="74"/>
      <c r="B21" s="115"/>
      <c r="C21" s="120"/>
      <c r="D21" s="120"/>
      <c r="E21" s="120"/>
      <c r="F21" s="120"/>
      <c r="G21" s="120"/>
      <c r="H21" s="651"/>
      <c r="I21" s="651"/>
      <c r="J21" s="651"/>
      <c r="K21" s="649"/>
      <c r="L21" s="649"/>
      <c r="M21" s="649"/>
      <c r="N21" s="116"/>
      <c r="O21" s="70"/>
    </row>
    <row r="22" spans="1:15" ht="19.5" customHeight="1">
      <c r="A22" s="74"/>
      <c r="B22" s="133"/>
      <c r="C22" s="134"/>
      <c r="D22" s="126"/>
      <c r="E22" s="134"/>
      <c r="F22" s="126"/>
      <c r="G22" s="134"/>
      <c r="H22" s="651"/>
      <c r="I22" s="651"/>
      <c r="J22" s="651"/>
      <c r="K22" s="649"/>
      <c r="L22" s="649"/>
      <c r="M22" s="649"/>
      <c r="N22" s="116"/>
      <c r="O22" s="70"/>
    </row>
    <row r="23" spans="1:15" ht="27.75" customHeight="1">
      <c r="A23" s="74"/>
      <c r="B23" s="128" t="s">
        <v>449</v>
      </c>
      <c r="C23" s="129"/>
      <c r="D23" s="129"/>
      <c r="E23" s="129"/>
      <c r="F23" s="129"/>
      <c r="G23" s="129"/>
      <c r="H23" s="346"/>
      <c r="I23" s="346"/>
      <c r="J23" s="346"/>
      <c r="K23" s="129"/>
      <c r="L23" s="129"/>
      <c r="M23" s="129"/>
      <c r="N23" s="659">
        <f ca="1">NOW()</f>
        <v>42319.650697453704</v>
      </c>
      <c r="O23" s="70"/>
    </row>
    <row r="24" spans="1:15" ht="18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</sheetData>
  <sheetProtection/>
  <mergeCells count="6"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1" max="1" width="2.7109375" style="0" customWidth="1"/>
    <col min="2" max="2" width="12.57421875" style="0" customWidth="1"/>
    <col min="3" max="3" width="11.7109375" style="0" customWidth="1"/>
    <col min="4" max="4" width="11.28125" style="0" bestFit="1" customWidth="1"/>
    <col min="5" max="5" width="9.7109375" style="0" customWidth="1"/>
    <col min="6" max="6" width="8.57421875" style="0" bestFit="1" customWidth="1"/>
    <col min="7" max="7" width="9.421875" style="0" bestFit="1" customWidth="1"/>
    <col min="8" max="8" width="8.28125" style="0" bestFit="1" customWidth="1"/>
    <col min="9" max="9" width="14.7109375" style="0" customWidth="1"/>
    <col min="10" max="10" width="21.7109375" style="0" customWidth="1"/>
    <col min="11" max="11" width="27.140625" style="0" customWidth="1"/>
    <col min="12" max="12" width="6.140625" style="0" customWidth="1"/>
  </cols>
  <sheetData>
    <row r="1" spans="1:11" ht="16.5" customHeight="1">
      <c r="A1" s="70"/>
      <c r="B1" s="72"/>
      <c r="C1" s="72"/>
      <c r="D1" s="72"/>
      <c r="E1" s="72"/>
      <c r="F1" s="72"/>
      <c r="G1" s="72"/>
      <c r="H1" s="72"/>
      <c r="I1" s="73"/>
      <c r="J1" s="73"/>
      <c r="K1" s="73"/>
    </row>
    <row r="2" spans="1:11" ht="19.5" customHeight="1">
      <c r="A2" s="70"/>
      <c r="B2" s="78"/>
      <c r="C2" s="79"/>
      <c r="D2" s="79"/>
      <c r="E2" s="79"/>
      <c r="F2" s="79"/>
      <c r="G2" s="79"/>
      <c r="H2" s="80"/>
      <c r="I2" s="73"/>
      <c r="J2" s="73"/>
      <c r="K2" s="73"/>
    </row>
    <row r="3" spans="1:11" ht="15" customHeight="1">
      <c r="A3" s="70"/>
      <c r="B3" s="81"/>
      <c r="C3" s="82"/>
      <c r="D3" s="82"/>
      <c r="E3" s="82"/>
      <c r="F3" s="82"/>
      <c r="G3" s="82"/>
      <c r="H3" s="83"/>
      <c r="I3" s="73"/>
      <c r="J3" s="73"/>
      <c r="K3" s="73"/>
    </row>
    <row r="4" spans="1:11" ht="18" customHeight="1">
      <c r="A4" s="70"/>
      <c r="B4" s="913" t="s">
        <v>24</v>
      </c>
      <c r="C4" s="913" t="s">
        <v>227</v>
      </c>
      <c r="D4" s="913" t="s">
        <v>25</v>
      </c>
      <c r="E4" s="910" t="s">
        <v>26</v>
      </c>
      <c r="F4" s="911"/>
      <c r="G4" s="912"/>
      <c r="H4" s="84" t="s">
        <v>407</v>
      </c>
      <c r="I4" s="73"/>
      <c r="J4" s="73"/>
      <c r="K4" s="73"/>
    </row>
    <row r="5" spans="1:11" ht="18" customHeight="1">
      <c r="A5" s="70"/>
      <c r="B5" s="914"/>
      <c r="C5" s="914"/>
      <c r="D5" s="914"/>
      <c r="E5" s="85" t="s">
        <v>28</v>
      </c>
      <c r="F5" s="85" t="s">
        <v>29</v>
      </c>
      <c r="G5" s="85" t="s">
        <v>30</v>
      </c>
      <c r="H5" s="86" t="s">
        <v>27</v>
      </c>
      <c r="I5" s="73"/>
      <c r="J5" s="73"/>
      <c r="K5" s="73"/>
    </row>
    <row r="6" spans="1:11" ht="18" customHeight="1">
      <c r="A6" s="70"/>
      <c r="B6" s="914"/>
      <c r="C6" s="914"/>
      <c r="D6" s="914"/>
      <c r="E6" s="242" t="s">
        <v>476</v>
      </c>
      <c r="F6" s="521" t="s">
        <v>475</v>
      </c>
      <c r="G6" s="242" t="s">
        <v>474</v>
      </c>
      <c r="H6" s="520" t="s">
        <v>490</v>
      </c>
      <c r="I6" s="73"/>
      <c r="J6" s="73"/>
      <c r="K6" s="73"/>
    </row>
    <row r="7" spans="1:11" ht="18" customHeight="1">
      <c r="A7" s="70"/>
      <c r="B7" s="915"/>
      <c r="C7" s="915"/>
      <c r="D7" s="915"/>
      <c r="E7" s="87">
        <v>2014</v>
      </c>
      <c r="F7" s="87">
        <v>2015</v>
      </c>
      <c r="G7" s="87">
        <v>2015</v>
      </c>
      <c r="H7" s="88">
        <v>2015</v>
      </c>
      <c r="I7" s="73"/>
      <c r="J7" s="73"/>
      <c r="K7" s="73"/>
    </row>
    <row r="8" spans="1:11" ht="19.5" customHeight="1">
      <c r="A8" s="70"/>
      <c r="B8" s="89"/>
      <c r="C8" s="90" t="s">
        <v>36</v>
      </c>
      <c r="D8" s="82"/>
      <c r="E8" s="82"/>
      <c r="F8" s="82"/>
      <c r="G8" s="82"/>
      <c r="H8" s="83"/>
      <c r="I8" s="73"/>
      <c r="J8" s="73"/>
      <c r="K8" s="73"/>
    </row>
    <row r="9" spans="1:11" ht="15" customHeight="1">
      <c r="A9" s="70"/>
      <c r="B9" s="89"/>
      <c r="C9" s="91"/>
      <c r="D9" s="91"/>
      <c r="E9" s="91"/>
      <c r="F9" s="91"/>
      <c r="G9" s="91"/>
      <c r="H9" s="92"/>
      <c r="I9" s="73"/>
      <c r="J9" s="73"/>
      <c r="K9" s="73"/>
    </row>
    <row r="10" spans="1:11" ht="19.5" customHeight="1">
      <c r="A10" s="70"/>
      <c r="B10" s="89"/>
      <c r="C10" s="105" t="s">
        <v>228</v>
      </c>
      <c r="D10" s="94" t="s">
        <v>330</v>
      </c>
      <c r="E10" s="95">
        <f>B32</f>
        <v>190.15</v>
      </c>
      <c r="F10" s="95">
        <f>C32</f>
        <v>130.7</v>
      </c>
      <c r="G10" s="95">
        <f>D32</f>
        <v>127.3</v>
      </c>
      <c r="H10" s="386">
        <f>E32</f>
        <v>124.25</v>
      </c>
      <c r="I10" s="73"/>
      <c r="J10" s="73"/>
      <c r="K10" s="73"/>
    </row>
    <row r="11" spans="1:11" ht="19.5" customHeight="1">
      <c r="A11" s="70"/>
      <c r="B11" s="89"/>
      <c r="C11" s="89"/>
      <c r="D11" s="94" t="s">
        <v>14</v>
      </c>
      <c r="E11" s="96">
        <f>($H$10/E10-1)*100</f>
        <v>-34.65684985537734</v>
      </c>
      <c r="F11" s="96">
        <f>($H$10/F10-1)*100</f>
        <v>-4.934965570007643</v>
      </c>
      <c r="G11" s="96">
        <f>($H$10/G10-1)*100</f>
        <v>-2.395915161036921</v>
      </c>
      <c r="H11" s="97">
        <f>($H$10/H10-1)*100</f>
        <v>0</v>
      </c>
      <c r="I11" s="73"/>
      <c r="J11" s="73"/>
      <c r="K11" s="73"/>
    </row>
    <row r="12" spans="1:11" ht="19.5" customHeight="1">
      <c r="A12" s="70"/>
      <c r="B12" s="89"/>
      <c r="C12" s="105" t="s">
        <v>37</v>
      </c>
      <c r="D12" s="94" t="s">
        <v>38</v>
      </c>
      <c r="E12" s="95">
        <f>B34</f>
        <v>2073</v>
      </c>
      <c r="F12" s="95">
        <f>C34</f>
        <v>1617</v>
      </c>
      <c r="G12" s="95">
        <f>D34</f>
        <v>1601</v>
      </c>
      <c r="H12" s="386">
        <f>E34</f>
        <v>1638</v>
      </c>
      <c r="I12" s="73"/>
      <c r="J12" s="73"/>
      <c r="K12" s="73"/>
    </row>
    <row r="13" spans="1:11" ht="19.5" customHeight="1">
      <c r="A13" s="70"/>
      <c r="B13" s="89"/>
      <c r="C13" s="89"/>
      <c r="D13" s="94" t="s">
        <v>14</v>
      </c>
      <c r="E13" s="96">
        <f>($H$12/E12-1)*100</f>
        <v>-20.98408104196816</v>
      </c>
      <c r="F13" s="96">
        <f>($H$12/F12-1)*100</f>
        <v>1.298701298701288</v>
      </c>
      <c r="G13" s="96">
        <f>($H$12/G12-1)*100</f>
        <v>2.3110555902560836</v>
      </c>
      <c r="H13" s="96">
        <f>($H$12/H12-1)*100</f>
        <v>0</v>
      </c>
      <c r="I13" s="73"/>
      <c r="J13" s="73"/>
      <c r="K13" s="73"/>
    </row>
    <row r="14" spans="1:11" ht="15" customHeight="1">
      <c r="A14" s="70"/>
      <c r="B14" s="89"/>
      <c r="C14" s="99"/>
      <c r="D14" s="87"/>
      <c r="E14" s="100"/>
      <c r="F14" s="100"/>
      <c r="G14" s="100"/>
      <c r="H14" s="101"/>
      <c r="I14" s="73"/>
      <c r="J14" s="73"/>
      <c r="K14" s="73"/>
    </row>
    <row r="15" spans="1:11" ht="19.5" customHeight="1">
      <c r="A15" s="70"/>
      <c r="B15" s="89"/>
      <c r="C15" s="90" t="s">
        <v>39</v>
      </c>
      <c r="D15" s="102"/>
      <c r="E15" s="82"/>
      <c r="F15" s="82"/>
      <c r="G15" s="82"/>
      <c r="H15" s="103"/>
      <c r="I15" s="73"/>
      <c r="J15" s="73"/>
      <c r="K15" s="73"/>
    </row>
    <row r="16" spans="1:11" ht="15" customHeight="1">
      <c r="A16" s="70"/>
      <c r="B16" s="89"/>
      <c r="C16" s="93"/>
      <c r="D16" s="91"/>
      <c r="E16" s="104"/>
      <c r="F16" s="104"/>
      <c r="G16" s="104"/>
      <c r="H16" s="92"/>
      <c r="I16" s="73"/>
      <c r="J16" s="73"/>
      <c r="K16" s="73"/>
    </row>
    <row r="17" spans="1:11" ht="19.5" customHeight="1">
      <c r="A17" s="70"/>
      <c r="B17" s="89"/>
      <c r="C17" s="105" t="s">
        <v>8</v>
      </c>
      <c r="D17" s="94" t="s">
        <v>32</v>
      </c>
      <c r="E17" s="95">
        <f>B31</f>
        <v>460.96</v>
      </c>
      <c r="F17" s="95">
        <f>C31</f>
        <v>465.8</v>
      </c>
      <c r="G17" s="95">
        <f>D31</f>
        <v>463.72</v>
      </c>
      <c r="H17" s="98">
        <f>E31</f>
        <v>471.99</v>
      </c>
      <c r="I17" s="73"/>
      <c r="J17" s="73"/>
      <c r="K17" s="73"/>
    </row>
    <row r="18" spans="1:11" ht="19.5" customHeight="1">
      <c r="A18" s="70"/>
      <c r="B18" s="89"/>
      <c r="C18" s="93"/>
      <c r="D18" s="94" t="s">
        <v>14</v>
      </c>
      <c r="E18" s="96">
        <f>($H$17/E17-1)*100</f>
        <v>2.3928323498785264</v>
      </c>
      <c r="F18" s="96">
        <f>($H$17/F17-1)*100</f>
        <v>1.3288965221124993</v>
      </c>
      <c r="G18" s="96">
        <f>($H$17/G17-1)*100</f>
        <v>1.7834037781419676</v>
      </c>
      <c r="H18" s="96">
        <f>($H$17/H17-1)*100</f>
        <v>0</v>
      </c>
      <c r="I18" s="73"/>
      <c r="J18" s="73"/>
      <c r="K18" s="73"/>
    </row>
    <row r="19" spans="1:11" ht="15" customHeight="1">
      <c r="A19" s="70"/>
      <c r="B19" s="89"/>
      <c r="C19" s="93"/>
      <c r="D19" s="94"/>
      <c r="E19" s="96"/>
      <c r="F19" s="96"/>
      <c r="G19" s="345" t="s">
        <v>331</v>
      </c>
      <c r="H19" s="97">
        <v>3.85</v>
      </c>
      <c r="I19" s="73"/>
      <c r="J19" s="73"/>
      <c r="K19" s="73"/>
    </row>
    <row r="20" spans="1:12" ht="19.5" customHeight="1">
      <c r="A20" s="70"/>
      <c r="B20" s="89"/>
      <c r="C20" s="106" t="s">
        <v>229</v>
      </c>
      <c r="D20" s="107"/>
      <c r="E20" s="108"/>
      <c r="F20" s="108"/>
      <c r="G20" s="108"/>
      <c r="H20" s="109"/>
      <c r="I20" s="73"/>
      <c r="J20" s="73"/>
      <c r="K20" s="73"/>
      <c r="L20" s="6"/>
    </row>
    <row r="21" spans="1:12" ht="15" customHeight="1">
      <c r="A21" s="70"/>
      <c r="B21" s="89"/>
      <c r="C21" s="91"/>
      <c r="D21" s="91"/>
      <c r="E21" s="91"/>
      <c r="F21" s="91"/>
      <c r="G21" s="91"/>
      <c r="H21" s="92"/>
      <c r="I21" s="73"/>
      <c r="J21" s="73"/>
      <c r="K21" s="73"/>
      <c r="L21" s="7"/>
    </row>
    <row r="22" spans="1:12" ht="19.5" customHeight="1">
      <c r="A22" s="70"/>
      <c r="B22" s="110"/>
      <c r="C22" s="105" t="s">
        <v>33</v>
      </c>
      <c r="D22" s="94" t="s">
        <v>32</v>
      </c>
      <c r="E22" s="95">
        <f>B33</f>
        <v>277.02</v>
      </c>
      <c r="F22" s="95">
        <f>C33</f>
        <v>352.2</v>
      </c>
      <c r="G22" s="95">
        <f>D33</f>
        <v>346.53</v>
      </c>
      <c r="H22" s="98">
        <f>E33</f>
        <v>373.88</v>
      </c>
      <c r="I22" s="73"/>
      <c r="J22" s="73"/>
      <c r="K22" s="73"/>
      <c r="L22" s="8"/>
    </row>
    <row r="23" spans="1:12" ht="15" customHeight="1">
      <c r="A23" s="70"/>
      <c r="B23" s="110"/>
      <c r="C23" s="93"/>
      <c r="D23" s="94" t="s">
        <v>14</v>
      </c>
      <c r="E23" s="96">
        <f>($H$22/E22-1)*100</f>
        <v>34.96498447765506</v>
      </c>
      <c r="F23" s="96">
        <f>($H$22/F22-1)*100</f>
        <v>6.1555934128336265</v>
      </c>
      <c r="G23" s="96">
        <f>($H$22/G22-1)*100</f>
        <v>7.8925345568926275</v>
      </c>
      <c r="H23" s="96">
        <f>($H$22/H22-1)*100</f>
        <v>0</v>
      </c>
      <c r="I23" s="73"/>
      <c r="J23" s="73"/>
      <c r="K23" s="73"/>
      <c r="L23" s="7"/>
    </row>
    <row r="24" spans="1:11" ht="19.5" customHeight="1">
      <c r="A24" s="70"/>
      <c r="B24" s="110"/>
      <c r="C24" s="106" t="s">
        <v>305</v>
      </c>
      <c r="D24" s="255"/>
      <c r="E24" s="256"/>
      <c r="F24" s="256"/>
      <c r="G24" s="256"/>
      <c r="H24" s="109"/>
      <c r="I24" s="73"/>
      <c r="J24" s="73"/>
      <c r="K24" s="73"/>
    </row>
    <row r="25" spans="1:11" ht="19.5" customHeight="1">
      <c r="A25" s="70"/>
      <c r="B25" s="110"/>
      <c r="C25" s="311" t="s">
        <v>228</v>
      </c>
      <c r="D25" s="309" t="s">
        <v>52</v>
      </c>
      <c r="E25" s="342" t="s">
        <v>348</v>
      </c>
      <c r="F25" s="341">
        <f>H10*1.3228</f>
        <v>164.3579</v>
      </c>
      <c r="G25" s="307" t="s">
        <v>333</v>
      </c>
      <c r="H25" s="98">
        <f>F25*H19</f>
        <v>632.777915</v>
      </c>
      <c r="I25" s="73"/>
      <c r="J25" s="73"/>
      <c r="K25" s="73"/>
    </row>
    <row r="26" spans="1:11" ht="19.5" customHeight="1">
      <c r="A26" s="70"/>
      <c r="B26" s="81"/>
      <c r="C26" s="312" t="s">
        <v>37</v>
      </c>
      <c r="D26" s="310" t="s">
        <v>252</v>
      </c>
      <c r="E26" s="314" t="s">
        <v>332</v>
      </c>
      <c r="F26" s="313">
        <f>H12/16.6</f>
        <v>98.67469879518072</v>
      </c>
      <c r="G26" s="308" t="s">
        <v>334</v>
      </c>
      <c r="H26" s="257">
        <f>F26*H19</f>
        <v>379.8975903614458</v>
      </c>
      <c r="I26" s="73"/>
      <c r="J26" s="73"/>
      <c r="K26" s="73"/>
    </row>
    <row r="27" spans="1:12" ht="16.5" customHeight="1">
      <c r="A27" s="70"/>
      <c r="B27" s="75" t="s">
        <v>450</v>
      </c>
      <c r="C27" s="76"/>
      <c r="D27" s="76"/>
      <c r="E27" s="76"/>
      <c r="F27" s="76"/>
      <c r="G27" s="76"/>
      <c r="H27" s="76"/>
      <c r="I27" s="73"/>
      <c r="J27" s="424" t="s">
        <v>351</v>
      </c>
      <c r="K27" s="425">
        <f ca="1">NOW()</f>
        <v>42319.650697453704</v>
      </c>
      <c r="L27" s="4"/>
    </row>
    <row r="28" ht="12.75">
      <c r="K28" s="4"/>
    </row>
    <row r="29" spans="1:11" ht="12.75">
      <c r="A29" s="3" t="s">
        <v>289</v>
      </c>
      <c r="K29" s="4"/>
    </row>
    <row r="30" spans="1:11" ht="12.75">
      <c r="A30" s="136"/>
      <c r="B30" s="62" t="s">
        <v>28</v>
      </c>
      <c r="C30" s="62" t="s">
        <v>29</v>
      </c>
      <c r="D30" s="62" t="s">
        <v>30</v>
      </c>
      <c r="E30" s="135" t="s">
        <v>31</v>
      </c>
      <c r="K30" s="4"/>
    </row>
    <row r="31" spans="1:5" ht="12.75">
      <c r="A31" s="65" t="s">
        <v>8</v>
      </c>
      <c r="B31" s="66">
        <v>460.96</v>
      </c>
      <c r="C31" s="66">
        <v>465.8</v>
      </c>
      <c r="D31" s="66">
        <v>463.72</v>
      </c>
      <c r="E31" s="66">
        <v>471.99</v>
      </c>
    </row>
    <row r="32" spans="1:9" ht="15">
      <c r="A32" s="63" t="s">
        <v>230</v>
      </c>
      <c r="B32" s="64">
        <v>190.15</v>
      </c>
      <c r="C32" s="64">
        <v>130.7</v>
      </c>
      <c r="D32" s="64">
        <v>127.3</v>
      </c>
      <c r="E32" s="64">
        <v>124.25</v>
      </c>
      <c r="G32" s="137"/>
      <c r="H32" s="137"/>
      <c r="I32" s="137"/>
    </row>
    <row r="33" spans="1:9" ht="14.25">
      <c r="A33" s="63" t="s">
        <v>33</v>
      </c>
      <c r="B33" s="64">
        <v>277.02</v>
      </c>
      <c r="C33" s="64">
        <v>352.2</v>
      </c>
      <c r="D33" s="64">
        <v>346.53</v>
      </c>
      <c r="E33" s="64">
        <v>373.88</v>
      </c>
      <c r="G33" s="138"/>
      <c r="H33" s="138"/>
      <c r="I33" s="138"/>
    </row>
    <row r="34" spans="1:9" ht="15">
      <c r="A34" s="67" t="s">
        <v>231</v>
      </c>
      <c r="B34" s="68">
        <v>2073</v>
      </c>
      <c r="C34" s="68">
        <v>1617</v>
      </c>
      <c r="D34" s="68">
        <v>1601</v>
      </c>
      <c r="E34" s="68">
        <v>1638</v>
      </c>
      <c r="G34" s="139"/>
      <c r="H34" s="140"/>
      <c r="I34" s="139"/>
    </row>
  </sheetData>
  <sheetProtection/>
  <mergeCells count="4">
    <mergeCell ref="E4:G4"/>
    <mergeCell ref="B4:B7"/>
    <mergeCell ref="C4:C7"/>
    <mergeCell ref="D4:D7"/>
  </mergeCells>
  <printOptions horizontalCentered="1" verticalCentered="1"/>
  <pageMargins left="0.5118110236220472" right="0.5118110236220472" top="0.7874015748031497" bottom="0.7874015748031497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geame</dc:creator>
  <cp:keywords/>
  <dc:description/>
  <cp:lastModifiedBy>Marcelo de Medeiros Fernandes</cp:lastModifiedBy>
  <cp:lastPrinted>2015-11-09T19:31:44Z</cp:lastPrinted>
  <dcterms:created xsi:type="dcterms:W3CDTF">2001-03-13T14:19:45Z</dcterms:created>
  <dcterms:modified xsi:type="dcterms:W3CDTF">2015-11-11T17:37:02Z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