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Total-Vencimento" sheetId="3" state="hidden" r:id="rId3"/>
    <sheet name="Indicadores" sheetId="4" r:id="rId4"/>
    <sheet name="Estoques" sheetId="5" r:id="rId5"/>
    <sheet name="Cotação Mensal" sheetId="6" r:id="rId6"/>
    <sheet name="Exp.Agronegócio" sheetId="7" r:id="rId7"/>
    <sheet name="Total Exp.sacas" sheetId="8" r:id="rId8"/>
    <sheet name="Exp.Verde" sheetId="9" r:id="rId9"/>
    <sheet name="Exp.Solúvel" sheetId="10" r:id="rId10"/>
    <sheet name="Exp.Torrado" sheetId="11" r:id="rId11"/>
    <sheet name="Exp.Outs Ext." sheetId="12" r:id="rId12"/>
    <sheet name="Exp.Destino-Ano" sheetId="13" r:id="rId13"/>
    <sheet name="Total Imp.sacas" sheetId="14" r:id="rId14"/>
    <sheet name="Saf.2015" sheetId="15" r:id="rId15"/>
    <sheet name="Saf.2014" sheetId="16" r:id="rId16"/>
    <sheet name="Saf.2013" sheetId="17" r:id="rId17"/>
    <sheet name="Café Ranking" sheetId="18" r:id="rId18"/>
    <sheet name="Plan1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alegria" localSheetId="15">'[1]Spred-09'!#REF!</definedName>
    <definedName name="alegria" localSheetId="14">'[1]Spred-09'!#REF!</definedName>
    <definedName name="alegria">'[2]Spred-09'!#REF!</definedName>
    <definedName name="aplicações" localSheetId="15">'[3]Spred-09'!#REF!</definedName>
    <definedName name="aplicações" localSheetId="14">'[3]Spred-09'!#REF!</definedName>
    <definedName name="aplicações">'[4]Spred-09'!#REF!</definedName>
    <definedName name="_xlnm.Print_Area" localSheetId="0">'Capa'!$A$1:$J$63</definedName>
    <definedName name="_xlnm.Print_Area" localSheetId="1">'C-Capa'!$A$1:$B$63</definedName>
    <definedName name="_xlnm.Print_Area" localSheetId="4">'Estoques'!$A$1:$H$26</definedName>
    <definedName name="_xlnm.Print_Area" localSheetId="6">'Exp.Agronegócio'!$A$1:$G$37</definedName>
    <definedName name="_xlnm.Print_Area" localSheetId="3">'Indicadores'!$A$1:$T$42</definedName>
    <definedName name="_xlnm.Print_Area" localSheetId="2">'Total-Vencimento'!$A$1:$M$47</definedName>
    <definedName name="banco" localSheetId="15">'[5]Spred-09'!#REF!,'[5]Spred-09'!$E$7:$L$7</definedName>
    <definedName name="banco" localSheetId="14">'[5]Spred-09'!#REF!,'[5]Spred-09'!$E$7:$L$7</definedName>
    <definedName name="banco">'[6]Spred-09'!#REF!,'[6]Spred-09'!$E$7:$L$7</definedName>
    <definedName name="banvco" localSheetId="15">'[7]Spred-09'!#REF!,'[7]Spred-09'!$E$7:$L$7</definedName>
    <definedName name="banvco" localSheetId="14">'[7]Spred-09'!#REF!,'[7]Spred-09'!$E$7:$L$7</definedName>
    <definedName name="banvco">'[8]Spred-09'!#REF!,'[8]Spred-09'!$E$7:$L$7</definedName>
    <definedName name="ca" localSheetId="15">'[9]Spred-09'!#REF!</definedName>
    <definedName name="ca" localSheetId="14">'[9]Spred-09'!#REF!</definedName>
    <definedName name="ca">'[10]Spred-09'!#REF!</definedName>
    <definedName name="caf" localSheetId="15">'[9]Spred-09'!#REF!</definedName>
    <definedName name="caf" localSheetId="14">'[9]Spred-09'!#REF!</definedName>
    <definedName name="caf">'[10]Spred-09'!#REF!</definedName>
    <definedName name="CAFCENT">'[11]Spred-09'!#REF!</definedName>
    <definedName name="cafe" localSheetId="15">'[12]Spred-09'!#REF!</definedName>
    <definedName name="cafe" localSheetId="14">'[12]Spred-09'!#REF!</definedName>
    <definedName name="cafe">'[13]Spred-09'!#REF!</definedName>
    <definedName name="CAFE´" localSheetId="15">'[14]Spred-09'!#REF!,'[14]Spred-09'!$E$7:$L$7</definedName>
    <definedName name="CAFE´" localSheetId="14">'[14]Spred-09'!#REF!,'[14]Spred-09'!$E$7:$L$7</definedName>
    <definedName name="CAFE´">'[15]Spred-09'!#REF!,'[15]Spred-09'!$E$7:$L$7</definedName>
    <definedName name="cafes" localSheetId="15">'[3]Spred-09'!#REF!</definedName>
    <definedName name="cafes" localSheetId="14">'[3]Spred-09'!#REF!</definedName>
    <definedName name="cafes">'[4]Spred-09'!#REF!</definedName>
    <definedName name="cafés" localSheetId="15">'[9]Spred-09'!#REF!,'[9]Spred-09'!$E$7:$L$7</definedName>
    <definedName name="cafés" localSheetId="14">'[9]Spred-09'!#REF!,'[9]Spred-09'!$E$7:$L$7</definedName>
    <definedName name="cafés">'[10]Spred-09'!#REF!,'[10]Spred-09'!$E$7:$L$7</definedName>
    <definedName name="cartao" localSheetId="15">'[1]Spred-09'!#REF!</definedName>
    <definedName name="cartao" localSheetId="14">'[1]Spred-09'!#REF!</definedName>
    <definedName name="cartao">'[2]Spred-09'!#REF!</definedName>
    <definedName name="cof" localSheetId="15">'[12]Spred-09'!#REF!,'[12]Spred-09'!$D$7:$K$7</definedName>
    <definedName name="cof" localSheetId="14">'[12]Spred-09'!#REF!,'[12]Spred-09'!$D$7:$K$7</definedName>
    <definedName name="cof">'[13]Spred-09'!#REF!,'[13]Spred-09'!$D$7:$K$7</definedName>
    <definedName name="contrato" localSheetId="15">'[1]Spred-09'!#REF!,'[1]Spred-09'!$E$7:$L$7</definedName>
    <definedName name="contrato" localSheetId="14">'[1]Spred-09'!#REF!,'[1]Spred-09'!$E$7:$L$7</definedName>
    <definedName name="contrato">'[2]Spred-09'!#REF!,'[2]Spred-09'!$E$7:$L$7</definedName>
    <definedName name="contratos" localSheetId="15">'[12]Spred-09'!#REF!</definedName>
    <definedName name="contratos" localSheetId="14">'[12]Spred-09'!#REF!</definedName>
    <definedName name="contratos">'[13]Spred-09'!#REF!</definedName>
    <definedName name="deposito" localSheetId="15">'[12]Spred-09'!#REF!,'[12]Spred-09'!$D$7:$K$7</definedName>
    <definedName name="deposito" localSheetId="14">'[12]Spred-09'!#REF!,'[12]Spred-09'!$D$7:$K$7</definedName>
    <definedName name="deposito">'[13]Spred-09'!#REF!,'[13]Spred-09'!$D$7:$K$7</definedName>
    <definedName name="EMPRESG0">'[16]Spred-09'!#REF!</definedName>
    <definedName name="fazenda" localSheetId="15">'[17]Spred-09'!#REF!</definedName>
    <definedName name="fazenda" localSheetId="14">'[17]Spred-09'!#REF!</definedName>
    <definedName name="fazenda">'[18]Spred-09'!#REF!</definedName>
    <definedName name="FECHADO">'[11]Spred-09'!#REF!</definedName>
    <definedName name="fernando" localSheetId="15">'[19]Spred-09'!#REF!,'[19]Spred-09'!$E$7:$L$7</definedName>
    <definedName name="fernando" localSheetId="14">'[19]Spred-09'!#REF!,'[19]Spred-09'!$E$7:$L$7</definedName>
    <definedName name="fernando">'[20]Spred-09'!#REF!,'[20]Spred-09'!$E$7:$L$7</definedName>
    <definedName name="fi" localSheetId="15">'[12]Spred-09'!#REF!,'[12]Spred-09'!$D$7:$K$7</definedName>
    <definedName name="fi" localSheetId="14">'[12]Spred-09'!#REF!,'[12]Spred-09'!$D$7:$K$7</definedName>
    <definedName name="fi">'[13]Spred-09'!#REF!,'[13]Spred-09'!$D$7:$K$7</definedName>
    <definedName name="filmes" localSheetId="15">'[21]Spred-09'!#REF!</definedName>
    <definedName name="filmes" localSheetId="14">'[21]Spred-09'!#REF!</definedName>
    <definedName name="filmes">'[22]Spred-09'!#REF!</definedName>
    <definedName name="financiar">'[13]Spred-09'!#REF!</definedName>
    <definedName name="finorme" localSheetId="15">'[12]Spred-09'!#REF!</definedName>
    <definedName name="finorme" localSheetId="14">'[12]Spred-09'!#REF!</definedName>
    <definedName name="finorme">'[13]Spred-09'!#REF!</definedName>
    <definedName name="funco">'[23]Spred-09'!#REF!</definedName>
    <definedName name="funcodefesa">'[13]Spred-09'!#REF!,'[13]Spred-09'!$D$7:$K$23</definedName>
    <definedName name="FUNDO" localSheetId="15">'[24]Spred-09'!#REF!</definedName>
    <definedName name="FUNDO" localSheetId="14">'[24]Spred-09'!#REF!</definedName>
    <definedName name="FUNDO">'[25]Spred-09'!#REF!</definedName>
    <definedName name="inorme" localSheetId="15">'[12]Spred-09'!#REF!</definedName>
    <definedName name="inorme" localSheetId="14">'[12]Spred-09'!#REF!</definedName>
    <definedName name="inorme">'[13]Spred-09'!#REF!</definedName>
    <definedName name="jogo" localSheetId="15">'[3]Spred-09'!#REF!</definedName>
    <definedName name="jogo" localSheetId="14">'[3]Spred-09'!#REF!</definedName>
    <definedName name="jogo">'[4]Spred-09'!#REF!</definedName>
    <definedName name="JOGOS">'[23]Spred-09'!#REF!</definedName>
    <definedName name="jose" localSheetId="15">'[9]Spred-09'!#REF!</definedName>
    <definedName name="jose" localSheetId="14">'[9]Spred-09'!#REF!</definedName>
    <definedName name="jose">'[10]Spred-09'!#REF!</definedName>
    <definedName name="li" localSheetId="15">'[9]Spred-09'!#REF!,'[9]Spred-09'!$E$7:$L$7</definedName>
    <definedName name="li" localSheetId="14">'[9]Spred-09'!#REF!,'[9]Spred-09'!$E$7:$L$7</definedName>
    <definedName name="li">'[10]Spred-09'!#REF!,'[10]Spred-09'!$E$7:$L$7</definedName>
    <definedName name="liber" localSheetId="15">'[12]Spred-09'!#REF!</definedName>
    <definedName name="liber" localSheetId="14">'[12]Spred-09'!#REF!</definedName>
    <definedName name="liber">'[13]Spred-09'!#REF!</definedName>
    <definedName name="lier" localSheetId="15">'[21]Spred-09'!#REF!,'[21]Spred-09'!$E$7:$L$7</definedName>
    <definedName name="lier" localSheetId="14">'[21]Spred-09'!#REF!,'[21]Spred-09'!$E$7:$L$7</definedName>
    <definedName name="lier">'[22]Spred-09'!#REF!,'[22]Spred-09'!$E$7:$L$7</definedName>
    <definedName name="limpa">'[26]Spred-09'!#REF!,'[26]Spred-09'!$E$7:$L$7</definedName>
    <definedName name="lits" localSheetId="15">'[12]Spred-09'!#REF!,'[12]Spred-09'!$D$7:$K$7</definedName>
    <definedName name="lits" localSheetId="14">'[12]Spred-09'!#REF!,'[12]Spred-09'!$D$7:$K$7</definedName>
    <definedName name="lits">'[13]Spred-09'!#REF!,'[13]Spred-09'!$D$7:$K$7</definedName>
    <definedName name="memorando" localSheetId="15">'[9]Spred-09'!#REF!</definedName>
    <definedName name="memorando" localSheetId="14">'[9]Spred-09'!#REF!</definedName>
    <definedName name="memorando">'[10]Spred-09'!#REF!</definedName>
    <definedName name="ministerio" localSheetId="15">'[1]Spred-09'!#REF!,'[1]Spred-09'!$E$7:$L$7</definedName>
    <definedName name="ministerio" localSheetId="14">'[1]Spred-09'!#REF!,'[1]Spred-09'!$E$7:$L$7</definedName>
    <definedName name="ministerio">'[2]Spred-09'!#REF!,'[2]Spred-09'!$E$7:$L$7</definedName>
    <definedName name="naofodr" localSheetId="15">'[12]Spred-09'!#REF!</definedName>
    <definedName name="naofodr" localSheetId="14">'[12]Spred-09'!#REF!</definedName>
    <definedName name="naofodr">'[13]Spred-09'!#REF!</definedName>
    <definedName name="offe" localSheetId="15">'[3]Spred-09'!#REF!</definedName>
    <definedName name="offe" localSheetId="14">'[3]Spred-09'!#REF!</definedName>
    <definedName name="offe">'[4]Spred-09'!#REF!</definedName>
    <definedName name="orçamento" localSheetId="15">'[21]Spred-09'!#REF!</definedName>
    <definedName name="orçamento" localSheetId="14">'[21]Spred-09'!#REF!</definedName>
    <definedName name="orçamento">'[22]Spred-09'!#REF!</definedName>
    <definedName name="p" localSheetId="15">'[3]Spred-09'!#REF!</definedName>
    <definedName name="p" localSheetId="14">'[3]Spred-09'!#REF!</definedName>
    <definedName name="p">'[4]Spred-09'!#REF!</definedName>
    <definedName name="pa" localSheetId="15">'[3]Spred-09'!#REF!</definedName>
    <definedName name="pa" localSheetId="14">'[3]Spred-09'!#REF!</definedName>
    <definedName name="pa">'[4]Spred-09'!#REF!</definedName>
    <definedName name="padrao">'[11]Spred-09'!#REF!</definedName>
    <definedName name="pal" localSheetId="15">'[12]Spred-09'!#REF!,'[12]Spred-09'!$D$7:$K$7</definedName>
    <definedName name="pal" localSheetId="14">'[12]Spred-09'!#REF!,'[12]Spred-09'!$D$7:$K$7</definedName>
    <definedName name="pal">'[13]Spred-09'!#REF!,'[13]Spred-09'!$D$7:$K$7</definedName>
    <definedName name="paul" localSheetId="15">'[12]Spred-09'!#REF!,'[12]Spred-09'!$D$7:$K$7</definedName>
    <definedName name="paul" localSheetId="14">'[12]Spred-09'!#REF!,'[12]Spred-09'!$D$7:$K$7</definedName>
    <definedName name="paul">'[13]Spred-09'!#REF!,'[13]Spred-09'!$D$7:$K$7</definedName>
    <definedName name="paulo" localSheetId="15">'[27]Spred-09'!#REF!</definedName>
    <definedName name="paulo" localSheetId="14">'[27]Spred-09'!#REF!</definedName>
    <definedName name="paulo">'[28]Spred-09'!#REF!</definedName>
    <definedName name="pcafe">'[13]Spred-09'!#REF!,'[13]Spred-09'!$D$7:$K$23</definedName>
    <definedName name="Planilha_1ÁreaTotal" localSheetId="15">'[12]Spred-09'!#REF!,'[12]Spred-09'!$D$7:$K$23</definedName>
    <definedName name="Planilha_1ÁreaTotal" localSheetId="14">'[12]Spred-09'!#REF!,'[12]Spred-09'!$D$7:$K$23</definedName>
    <definedName name="Planilha_1ÁreaTotal">'[13]Spred-09'!#REF!,'[13]Spred-09'!$D$7:$K$23</definedName>
    <definedName name="Planilha_1CabGráfico" localSheetId="15">'[12]Spred-09'!#REF!</definedName>
    <definedName name="Planilha_1CabGráfico" localSheetId="14">'[12]Spred-09'!#REF!</definedName>
    <definedName name="Planilha_1CabGráfico">'[13]Spred-09'!#REF!</definedName>
    <definedName name="Planilha_1TítCols" localSheetId="15">'[12]Spred-09'!#REF!,'[12]Spred-09'!$D$7:$K$7</definedName>
    <definedName name="Planilha_1TítCols" localSheetId="14">'[12]Spred-09'!#REF!,'[12]Spred-09'!$D$7:$K$7</definedName>
    <definedName name="Planilha_1TítCols">'[13]Spred-09'!#REF!,'[13]Spred-09'!$D$7:$K$7</definedName>
    <definedName name="Planilha_1TítLins" localSheetId="15">'[12]Spred-09'!#REF!</definedName>
    <definedName name="Planilha_1TítLins" localSheetId="14">'[12]Spred-09'!#REF!</definedName>
    <definedName name="Planilha_1TítLins">'[13]Spred-09'!#REF!</definedName>
    <definedName name="planilhas">'[13]Spred-09'!#REF!,'[13]Spred-09'!$D$7:$K$7</definedName>
    <definedName name="serviço">'[13]Spred-09'!#REF!,'[13]Spred-09'!$D$7:$K$23</definedName>
    <definedName name="sim" localSheetId="15">'[17]Spred-09'!#REF!,'[17]Spred-09'!$E$7:$L$7</definedName>
    <definedName name="sim" localSheetId="14">'[17]Spred-09'!#REF!,'[17]Spred-09'!$E$7:$L$7</definedName>
    <definedName name="sim">'[18]Spred-09'!#REF!,'[18]Spred-09'!$E$7:$L$7</definedName>
    <definedName name="time" localSheetId="15">'[7]Spred-09'!#REF!</definedName>
    <definedName name="time" localSheetId="14">'[7]Spred-09'!#REF!</definedName>
    <definedName name="time">'[8]Spred-09'!#REF!</definedName>
    <definedName name="_xlnm.Print_Titles" localSheetId="6">'Exp.Agronegócio'!$1:$11</definedName>
    <definedName name="vaf" localSheetId="15">'[3]Spred-09'!#REF!,'[3]Spred-09'!$E$7:$L$7</definedName>
    <definedName name="vaf" localSheetId="14">'[3]Spred-09'!#REF!,'[3]Spred-09'!$E$7:$L$7</definedName>
    <definedName name="vaf">'[4]Spred-09'!#REF!,'[4]Spred-09'!$E$7:$L$7</definedName>
    <definedName name="valores" localSheetId="15">'[17]Spred-09'!#REF!</definedName>
    <definedName name="valores" localSheetId="14">'[17]Spred-09'!#REF!</definedName>
    <definedName name="valores">'[18]Spred-09'!#REF!</definedName>
    <definedName name="voce" localSheetId="15">'[9]Spred-09'!#REF!</definedName>
    <definedName name="voce" localSheetId="14">'[9]Spred-09'!#REF!</definedName>
    <definedName name="voce">'[10]Spred-09'!#REF!</definedName>
  </definedNames>
  <calcPr fullCalcOnLoad="1"/>
</workbook>
</file>

<file path=xl/sharedStrings.xml><?xml version="1.0" encoding="utf-8"?>
<sst xmlns="http://schemas.openxmlformats.org/spreadsheetml/2006/main" count="864" uniqueCount="371">
  <si>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</si>
  <si>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</si>
  <si>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</si>
  <si>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</si>
  <si>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</si>
  <si>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</si>
  <si>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</si>
  <si>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</si>
  <si>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</si>
  <si>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</si>
  <si>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</si>
  <si>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</si>
  <si>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</si>
  <si>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</si>
  <si>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</si>
  <si>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</si>
  <si>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</si>
  <si>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</si>
  <si>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</si>
  <si>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</si>
  <si>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</si>
  <si>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</si>
  <si>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</si>
  <si>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</si>
  <si>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</si>
  <si>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</si>
  <si>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</si>
  <si>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</si>
  <si>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</si>
  <si>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</si>
  <si>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</si>
  <si>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</si>
  <si>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</si>
  <si>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</si>
  <si>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</si>
  <si>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</si>
  <si>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</si>
  <si>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</si>
  <si>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</si>
  <si>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</si>
  <si>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</si>
  <si>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</si>
  <si>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</si>
  <si>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</si>
  <si>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</si>
  <si>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</si>
  <si>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</si>
  <si>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</si>
  <si>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</si>
  <si>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</si>
  <si>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</si>
  <si>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</si>
  <si>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</si>
  <si>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</si>
  <si>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</si>
  <si>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</si>
  <si>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</si>
  <si>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</si>
  <si>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</si>
  <si>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</si>
  <si>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</si>
  <si>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</si>
  <si>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</si>
  <si>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</si>
  <si>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</si>
  <si>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</si>
  <si>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</si>
  <si>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</si>
  <si>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</si>
  <si>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</si>
  <si>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</si>
  <si>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</si>
  <si>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</si>
  <si>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</si>
  <si>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</si>
  <si>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</si>
  <si>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</si>
  <si>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</si>
  <si>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</si>
  <si>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</si>
  <si>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</si>
  <si>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</si>
  <si>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</si>
  <si>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</si>
  <si>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</si>
  <si>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</si>
  <si>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</si>
  <si>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</si>
  <si>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</si>
  <si>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</si>
  <si>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</si>
  <si>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</si>
  <si>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</si>
  <si>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</si>
  <si>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</si>
  <si>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</si>
  <si>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</si>
  <si>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</si>
  <si>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</si>
  <si>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</si>
  <si>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</si>
  <si>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</si>
  <si>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</si>
  <si>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</si>
  <si>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</si>
  <si>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</si>
  <si>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</si>
  <si>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</si>
  <si>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</si>
  <si>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</si>
  <si>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</si>
  <si>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</si>
  <si>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</si>
  <si>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</si>
  <si>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</si>
  <si>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</si>
  <si>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</si>
  <si>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</si>
  <si>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</si>
  <si>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</si>
  <si>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</si>
  <si>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</si>
  <si>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</si>
  <si>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</si>
  <si>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</si>
  <si>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</si>
  <si>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Tipo 7 BC</t>
  </si>
  <si>
    <t>(Base Cepea-Esalq)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</si>
  <si>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</si>
  <si>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</si>
  <si>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</si>
  <si>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</si>
  <si>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</si>
  <si>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</si>
  <si>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CEP: 70043-900 - Brasília - DF</t>
  </si>
  <si>
    <t>Fontes: *MDIC/SECEX; O.I.C.</t>
  </si>
  <si>
    <t>Fontes: *ABIC; O.I.C.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</si>
  <si>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</si>
  <si>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</si>
  <si>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</si>
  <si>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</si>
  <si>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</si>
  <si>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</si>
  <si>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</si>
  <si>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</si>
  <si>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</si>
  <si>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</si>
  <si>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</si>
  <si>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</si>
  <si>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</si>
  <si>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</si>
  <si>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</si>
  <si>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</si>
  <si>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</si>
  <si>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</si>
  <si>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</si>
  <si>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</si>
  <si>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</si>
  <si>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</si>
  <si>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</si>
  <si>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</si>
  <si>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</si>
  <si>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</si>
  <si>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</si>
  <si>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</si>
  <si>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</si>
  <si>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</si>
  <si>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</si>
  <si>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</si>
  <si>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</si>
  <si>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</si>
  <si>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</si>
  <si>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</si>
  <si>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</si>
  <si>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</si>
  <si>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</si>
  <si>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</si>
  <si>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</si>
  <si>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</si>
  <si>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</si>
  <si>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</si>
  <si>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</si>
  <si>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</si>
  <si>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</si>
  <si>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</si>
  <si>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</si>
  <si>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</si>
  <si>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</si>
  <si>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</si>
  <si>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</si>
  <si>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</si>
  <si>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t>3.1. Consumo per capita - kg/habitante ano</t>
  </si>
  <si>
    <t>FRUTAS (INCLUI NOZES E CASTANHAS)</t>
  </si>
  <si>
    <t>Getulio Akio Shinkawa</t>
  </si>
  <si>
    <t>Antonio Augusto Ribeiro Vaz Costa</t>
  </si>
  <si>
    <t>Coordenador: Marconni Sobreira</t>
  </si>
  <si>
    <t>NCM: 2101.11.90/2101.12.00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</si>
  <si>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</si>
  <si>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</si>
  <si>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</si>
  <si>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</si>
  <si>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t>CARNES</t>
  </si>
  <si>
    <t>COUROS, PRODUTOS DE COURO E PELETERIA</t>
  </si>
  <si>
    <t>CEREAIS, FARINHAS E PREPARAÇÕES</t>
  </si>
  <si>
    <t>2010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</si>
  <si>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</si>
  <si>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</si>
  <si>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</si>
  <si>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</si>
  <si>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</si>
  <si>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</si>
  <si>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</si>
  <si>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</si>
  <si>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</si>
  <si>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</si>
  <si>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US$ (FOB)</t>
  </si>
  <si>
    <t>SC/60 kg</t>
  </si>
  <si>
    <t>EXPORTAÇÕES BRASILEIRAS DE CAFÉS</t>
  </si>
  <si>
    <t>BEBIDAS</t>
  </si>
  <si>
    <t xml:space="preserve">Cotação Mensal dos Preços de Cafés Recebidos pelos produtores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</si>
  <si>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</si>
  <si>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</si>
  <si>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</si>
  <si>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</si>
  <si>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</si>
  <si>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</si>
  <si>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</si>
  <si>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>Fax:         (61) 3322-0337</t>
  </si>
  <si>
    <t xml:space="preserve">   OUTROS</t>
  </si>
  <si>
    <t xml:space="preserve">Zona da Mata, Rio Doce    e Central </t>
  </si>
  <si>
    <t>SAFRA  2013</t>
  </si>
  <si>
    <t>6. Participação das exportações brasileiras de cafés em</t>
  </si>
  <si>
    <t>Uganda</t>
  </si>
  <si>
    <t>2012</t>
  </si>
  <si>
    <t>Costa Rica</t>
  </si>
  <si>
    <t>PESCADOS</t>
  </si>
  <si>
    <t>ANIMAIS VIVOS (EXCETO PESCADOS)</t>
  </si>
  <si>
    <t>Selecione: Café</t>
  </si>
  <si>
    <t>CHÁ, MATE E ESPECIARIAS</t>
  </si>
  <si>
    <t xml:space="preserve">Tipo C Interno 500 </t>
  </si>
  <si>
    <t xml:space="preserve"> Tipo C Interno 500 </t>
  </si>
  <si>
    <t>ESTOQUES PRIVADOS E PÚBLICOS DE CAFÉ NO BRASIL</t>
  </si>
  <si>
    <t>ANO</t>
  </si>
  <si>
    <t>ESTOQUES PRIVADOS</t>
  </si>
  <si>
    <t>TOTAL GERAL</t>
  </si>
  <si>
    <t>Total</t>
  </si>
  <si>
    <t>DCAF</t>
  </si>
  <si>
    <t>CONAB</t>
  </si>
  <si>
    <t>Fontes: CONAB</t>
  </si>
  <si>
    <t>PÚBLICOS</t>
  </si>
  <si>
    <t xml:space="preserve">COMPANHIA NACIONAL DE ABASTECIMENTO </t>
  </si>
  <si>
    <t>5.3. Pesquisa Cafeeira</t>
  </si>
  <si>
    <t>2013</t>
  </si>
  <si>
    <t>Estoques Privados e Públicos de Café no Brasil</t>
  </si>
  <si>
    <t>LÁCTEOS</t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</si>
  <si>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</si>
  <si>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</si>
  <si>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</t>
    </r>
  </si>
  <si>
    <r>
      <t>3.</t>
    </r>
    <r>
      <rPr>
        <b/>
        <sz val="13"/>
        <rFont val="Arial"/>
        <family val="2"/>
      </rPr>
      <t xml:space="preserve"> Consumo interno de café T&amp;M e Solúvel - milhões/sc </t>
    </r>
  </si>
  <si>
    <t>TOTAL DAS EXPORTAÇÕES BRASILEIRAS DE CAFÉS</t>
  </si>
  <si>
    <t>TOTAL DAS IMPORTAÇÕES BRASILEIRAS DE CAFÉS</t>
  </si>
  <si>
    <t>SAFRA  2014</t>
  </si>
  <si>
    <t>http://www.agricultura.gov.br/vegetal/cafe/estatisticas</t>
  </si>
  <si>
    <t>4. Estoques Públicos e Privados - milhões/sc</t>
  </si>
  <si>
    <t>Total das Exportações Brasileiras de Cafés em sacas de 60 kg (Secex)</t>
  </si>
  <si>
    <t>Total das Importações Brasileiras de Cafés em sacas de 60 kg (Secex)</t>
  </si>
  <si>
    <t>Produção Mundial - Produtores</t>
  </si>
  <si>
    <t>Exportação Mundial - Produtores</t>
  </si>
  <si>
    <t>Consumo Interno - Produtores</t>
  </si>
  <si>
    <t xml:space="preserve">Produção, Exportação Mundial e Consumo Interno de Café </t>
  </si>
  <si>
    <t xml:space="preserve">SUCOS </t>
  </si>
  <si>
    <t>CACAU E SEUS PRODUTOS</t>
  </si>
  <si>
    <t>*2014</t>
  </si>
  <si>
    <t>*Estimativas</t>
  </si>
  <si>
    <t>Norte</t>
  </si>
  <si>
    <t>RO</t>
  </si>
  <si>
    <t>PA</t>
  </si>
  <si>
    <t>Nordeste</t>
  </si>
  <si>
    <t>BA</t>
  </si>
  <si>
    <t xml:space="preserve">     Cerrado</t>
  </si>
  <si>
    <t xml:space="preserve">     Planalto</t>
  </si>
  <si>
    <t xml:space="preserve">     Atlântico</t>
  </si>
  <si>
    <t>Centro-Oeste</t>
  </si>
  <si>
    <t>MT</t>
  </si>
  <si>
    <t>GO</t>
  </si>
  <si>
    <t>Sudeste</t>
  </si>
  <si>
    <t>MG</t>
  </si>
  <si>
    <t xml:space="preserve">     Sul e Centro-Oeste</t>
  </si>
  <si>
    <t xml:space="preserve">     Triângulo, Alto Paranaiba e Noroeste</t>
  </si>
  <si>
    <t xml:space="preserve">     Zona da Mata, Rio Doce e Central </t>
  </si>
  <si>
    <t xml:space="preserve">     Norte, Jequitinhonha e Mucuri</t>
  </si>
  <si>
    <t>ES</t>
  </si>
  <si>
    <t>RJ</t>
  </si>
  <si>
    <t>SP</t>
  </si>
  <si>
    <t>SUL</t>
  </si>
  <si>
    <t>PR</t>
  </si>
  <si>
    <t>Norte/Nordeste</t>
  </si>
  <si>
    <t>Centro-Sul</t>
  </si>
  <si>
    <t xml:space="preserve">1. Produção - milhões/sc </t>
  </si>
  <si>
    <t>(3) Estimativa</t>
  </si>
  <si>
    <t>CAFÉ - Média Mensal dos Preços Recebidos pelos Produtores - 2014/2015</t>
  </si>
  <si>
    <t>(15/14)</t>
  </si>
  <si>
    <t xml:space="preserve">Indicadores de Desempenho da Cafeicultura Brasileira - 2004 a 2015  </t>
  </si>
  <si>
    <t>Previsão de Safra - 2015</t>
  </si>
  <si>
    <t>Safra Produção Final - 2014 - 2013</t>
  </si>
  <si>
    <t>SAFRA  2015</t>
  </si>
  <si>
    <t>2004 a 2015</t>
  </si>
  <si>
    <t>2014</t>
  </si>
  <si>
    <t>RANKING POR VALORES DE 2015</t>
  </si>
  <si>
    <t>ESTADOS UNIDOS</t>
  </si>
  <si>
    <t>JAPAO</t>
  </si>
  <si>
    <t>UCRANIA</t>
  </si>
  <si>
    <t>ARABIA SAUDITA</t>
  </si>
  <si>
    <t>INDONESIA</t>
  </si>
  <si>
    <t>ARGENTINA</t>
  </si>
  <si>
    <t>CHILE</t>
  </si>
  <si>
    <t>CINGAPURA</t>
  </si>
  <si>
    <t>CANADA</t>
  </si>
  <si>
    <t>TURQUIA</t>
  </si>
  <si>
    <t>URUGUAI</t>
  </si>
  <si>
    <t>PARAGUAI</t>
  </si>
  <si>
    <t>BOLIVIA</t>
  </si>
  <si>
    <t>GEORGIA,REP.DA</t>
  </si>
  <si>
    <t>TAIWAN (FORMOSA)</t>
  </si>
  <si>
    <t>COREIA,REP.SUL</t>
  </si>
  <si>
    <t>MEXICO</t>
  </si>
  <si>
    <t>Secretária-Executiva: MARIA EMILIA MENDONÇA PEDROZA JABER</t>
  </si>
  <si>
    <t>SAMOA</t>
  </si>
  <si>
    <t>CHINA</t>
  </si>
  <si>
    <t>(1) Com base no 2º Levantamento de Safra da CONAB - Junho/15</t>
  </si>
  <si>
    <t>SEGUNDO LEVANTAMENTO</t>
  </si>
  <si>
    <t>EMIR.ARABES UN.</t>
  </si>
  <si>
    <t>MALASIA</t>
  </si>
  <si>
    <t>GUINE EQUATORIAL</t>
  </si>
  <si>
    <t>LIBANO</t>
  </si>
  <si>
    <t>NORUEGA</t>
  </si>
  <si>
    <t>VENEZUELA</t>
  </si>
  <si>
    <t>AUSTRALIA</t>
  </si>
  <si>
    <t>UNIÃO EUROPEIA 28</t>
  </si>
  <si>
    <t>PERU</t>
  </si>
  <si>
    <t>FIJI</t>
  </si>
  <si>
    <t>(PRINCIPAIS IMPORTADORES)</t>
  </si>
  <si>
    <t>SECRETARIA DE POLÍTICA AGRÍCOLA - SPA</t>
  </si>
  <si>
    <t>Secretário da SPA: ANDRÉ MELONI NASSAR</t>
  </si>
  <si>
    <t>Ministra: KÁTIA ABREU</t>
  </si>
  <si>
    <t>Diretor do DCRR: VITOR AUGUSTO OZAKI</t>
  </si>
  <si>
    <t>Elaborado pela Coordenação Geral de Gestão de Recursos</t>
  </si>
  <si>
    <t>e-mail: airton.camargo@agricultura.gov.br</t>
  </si>
  <si>
    <t>DEPARTAMENTO DE CRÉDITO, RECURSOS E RISCOS - DCRR</t>
  </si>
  <si>
    <t>HUNGRIA</t>
  </si>
  <si>
    <t>CASCA E PELÍCULAS</t>
  </si>
  <si>
    <t>CASCAS E PELÍCULAS</t>
  </si>
  <si>
    <r>
      <t>44,3</t>
    </r>
    <r>
      <rPr>
        <b/>
        <vertAlign val="superscript"/>
        <sz val="12"/>
        <rFont val="Arial"/>
        <family val="2"/>
      </rPr>
      <t xml:space="preserve"> (1)</t>
    </r>
  </si>
  <si>
    <r>
      <t>21,0</t>
    </r>
    <r>
      <rPr>
        <b/>
        <vertAlign val="superscript"/>
        <sz val="12"/>
        <rFont val="Arial"/>
        <family val="2"/>
      </rPr>
      <t xml:space="preserve"> (3)</t>
    </r>
  </si>
  <si>
    <r>
      <t>32,5</t>
    </r>
    <r>
      <rPr>
        <b/>
        <vertAlign val="superscript"/>
        <sz val="12"/>
        <rFont val="Arial"/>
        <family val="2"/>
      </rPr>
      <t xml:space="preserve"> (4)</t>
    </r>
  </si>
  <si>
    <r>
      <t>6,9</t>
    </r>
    <r>
      <rPr>
        <b/>
        <vertAlign val="superscript"/>
        <sz val="12"/>
        <rFont val="Arial"/>
        <family val="2"/>
      </rPr>
      <t xml:space="preserve"> (2)</t>
    </r>
  </si>
  <si>
    <r>
      <t>2. Exportação - Verde, solúvel, extratos e torrado</t>
    </r>
    <r>
      <rPr>
        <b/>
        <vertAlign val="superscript"/>
        <sz val="12"/>
        <rFont val="Arial"/>
        <family val="2"/>
      </rPr>
      <t xml:space="preserve"> (5)</t>
    </r>
  </si>
  <si>
    <t>Estoques privados realizados com base no levantamento efetuado pela CONAB em 31.03.15</t>
  </si>
  <si>
    <t>Elaboração: MAPA/SPA/DCRR</t>
  </si>
  <si>
    <t>Fonte e Elaboração: CONAB</t>
  </si>
  <si>
    <t>Fontes: *MAPA/SPA/CONAB; O.I.C.</t>
  </si>
  <si>
    <t xml:space="preserve"> - Agosto/2015 - </t>
  </si>
  <si>
    <t>Jan a Ago/2015</t>
  </si>
  <si>
    <t>Jan a Ago/2014</t>
  </si>
  <si>
    <t>SIRIA</t>
  </si>
  <si>
    <t>COREIA DO SUL</t>
  </si>
  <si>
    <t>RUSSIA</t>
  </si>
  <si>
    <t>(2) De Janeiro a Agosto</t>
  </si>
  <si>
    <t>(4) De Janeiro a Agosto</t>
  </si>
  <si>
    <r>
      <t>441,83</t>
    </r>
    <r>
      <rPr>
        <b/>
        <vertAlign val="superscript"/>
        <sz val="12"/>
        <rFont val="Arial"/>
        <family val="2"/>
      </rPr>
      <t xml:space="preserve"> (2)</t>
    </r>
  </si>
  <si>
    <t>ANO 16º.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</si>
</sst>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"/>
    <numFmt numFmtId="168" formatCode="_(* #,##0_);_(* \(#,##0\);_(* &quot;-&quot;??_);_(@_)"/>
    <numFmt numFmtId="169" formatCode="0.0%"/>
    <numFmt numFmtId="170" formatCode="#,##0;[Red]\-#,##0;_(* &quot;---&quot;_);_(@_)"/>
    <numFmt numFmtId="171" formatCode="_(* #,##0.0_);_(* \(#,##0.0\);_(* &quot;-&quot;??_);_(@_)"/>
    <numFmt numFmtId="172" formatCode="_(* #,##0_);_(* \(#,##0\);_(* \-_);_(@_)"/>
    <numFmt numFmtId="173" formatCode="_(* #,##0.0000000_);_(* \(#,##0.0000000\);_(* &quot;-&quot;_);_(@_)"/>
    <numFmt numFmtId="174" formatCode="#,##0.000;[Red]\-#,##0.000;_(* &quot;---&quot;_);_(@_)"/>
    <numFmt numFmtId="175" formatCode="_-* #,##0_-;\-* #,##0_-;_-* &quot;-&quot;??_-;_-@_-"/>
    <numFmt numFmtId="176" formatCode="#,##0.0"/>
    <numFmt numFmtId="177" formatCode="_(* #,##0_);_(* \(#,##0\);_(* \-?_);_(@_)"/>
    <numFmt numFmtId="178" formatCode="_(* #.##0_);_(* \(#.##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u val="single"/>
      <sz val="12"/>
      <color indexed="12"/>
      <name val="Arial"/>
      <family val="0"/>
    </font>
    <font>
      <b/>
      <sz val="10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5.75"/>
      <color indexed="8"/>
      <name val="Arial"/>
      <family val="0"/>
    </font>
    <font>
      <b/>
      <sz val="5.75"/>
      <color indexed="8"/>
      <name val="Arial"/>
      <family val="0"/>
    </font>
    <font>
      <sz val="8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dashDotDot"/>
      <top/>
      <bottom/>
    </border>
    <border>
      <left style="dashDotDot"/>
      <right/>
      <top/>
      <bottom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/>
      <right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>
        <color indexed="8"/>
      </top>
      <bottom/>
    </border>
    <border>
      <left style="thin"/>
      <right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42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39" fillId="21" borderId="2" applyNumberFormat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7" borderId="1" applyNumberFormat="0" applyAlignment="0" applyProtection="0"/>
    <xf numFmtId="0" fontId="40" fillId="0" borderId="3" applyNumberFormat="0" applyFill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0" xfId="123">
      <alignment/>
      <protection/>
    </xf>
    <xf numFmtId="0" fontId="21" fillId="4" borderId="0" xfId="123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0" fillId="0" borderId="0" xfId="123" applyFill="1" applyBorder="1" applyAlignment="1">
      <alignment vertical="center"/>
      <protection/>
    </xf>
    <xf numFmtId="0" fontId="0" fillId="0" borderId="0" xfId="123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0" fillId="24" borderId="0" xfId="123" applyFill="1" applyBorder="1" applyAlignment="1">
      <alignment vertical="center"/>
      <protection/>
    </xf>
    <xf numFmtId="0" fontId="21" fillId="24" borderId="0" xfId="123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3" fillId="24" borderId="0" xfId="123" applyFont="1" applyFill="1" applyBorder="1" applyAlignment="1">
      <alignment horizontal="center" vertical="center"/>
      <protection/>
    </xf>
    <xf numFmtId="0" fontId="7" fillId="0" borderId="0" xfId="123" applyFont="1">
      <alignment/>
      <protection/>
    </xf>
    <xf numFmtId="0" fontId="7" fillId="0" borderId="0" xfId="0" applyFont="1" applyFill="1" applyAlignment="1">
      <alignment/>
    </xf>
    <xf numFmtId="168" fontId="5" fillId="0" borderId="0" xfId="157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0" fontId="0" fillId="2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7" fillId="0" borderId="0" xfId="0" applyNumberFormat="1" applyFont="1" applyFill="1" applyAlignment="1">
      <alignment/>
    </xf>
    <xf numFmtId="0" fontId="2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3" fontId="9" fillId="4" borderId="25" xfId="0" applyNumberFormat="1" applyFont="1" applyFill="1" applyBorder="1" applyAlignment="1">
      <alignment vertical="center"/>
    </xf>
    <xf numFmtId="3" fontId="9" fillId="4" borderId="21" xfId="0" applyNumberFormat="1" applyFont="1" applyFill="1" applyBorder="1" applyAlignment="1">
      <alignment horizontal="right" vertical="center"/>
    </xf>
    <xf numFmtId="3" fontId="2" fillId="4" borderId="24" xfId="0" applyNumberFormat="1" applyFont="1" applyFill="1" applyBorder="1" applyAlignment="1">
      <alignment horizontal="right" vertical="center"/>
    </xf>
    <xf numFmtId="3" fontId="9" fillId="4" borderId="23" xfId="0" applyNumberFormat="1" applyFont="1" applyFill="1" applyBorder="1" applyAlignment="1">
      <alignment vertical="center"/>
    </xf>
    <xf numFmtId="4" fontId="9" fillId="4" borderId="23" xfId="0" applyNumberFormat="1" applyFont="1" applyFill="1" applyBorder="1" applyAlignment="1">
      <alignment vertical="center"/>
    </xf>
    <xf numFmtId="4" fontId="9" fillId="4" borderId="22" xfId="0" applyNumberFormat="1" applyFont="1" applyFill="1" applyBorder="1" applyAlignment="1">
      <alignment vertical="center"/>
    </xf>
    <xf numFmtId="4" fontId="9" fillId="4" borderId="2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9" fillId="4" borderId="20" xfId="0" applyNumberFormat="1" applyFont="1" applyFill="1" applyBorder="1" applyAlignment="1">
      <alignment vertical="center"/>
    </xf>
    <xf numFmtId="3" fontId="9" fillId="4" borderId="21" xfId="0" applyNumberFormat="1" applyFont="1" applyFill="1" applyBorder="1" applyAlignment="1">
      <alignment vertical="center"/>
    </xf>
    <xf numFmtId="4" fontId="9" fillId="4" borderId="21" xfId="0" applyNumberFormat="1" applyFont="1" applyFill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4" fontId="9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right" vertical="center"/>
    </xf>
    <xf numFmtId="3" fontId="9" fillId="4" borderId="29" xfId="0" applyNumberFormat="1" applyFont="1" applyFill="1" applyBorder="1" applyAlignment="1">
      <alignment vertical="center"/>
    </xf>
    <xf numFmtId="3" fontId="9" fillId="4" borderId="30" xfId="0" applyNumberFormat="1" applyFont="1" applyFill="1" applyBorder="1" applyAlignment="1">
      <alignment horizontal="right" vertical="center"/>
    </xf>
    <xf numFmtId="3" fontId="9" fillId="4" borderId="31" xfId="0" applyNumberFormat="1" applyFont="1" applyFill="1" applyBorder="1" applyAlignment="1">
      <alignment vertical="center"/>
    </xf>
    <xf numFmtId="3" fontId="9" fillId="4" borderId="30" xfId="0" applyNumberFormat="1" applyFont="1" applyFill="1" applyBorder="1" applyAlignment="1">
      <alignment vertical="center"/>
    </xf>
    <xf numFmtId="4" fontId="9" fillId="4" borderId="30" xfId="0" applyNumberFormat="1" applyFont="1" applyFill="1" applyBorder="1" applyAlignment="1">
      <alignment vertical="center"/>
    </xf>
    <xf numFmtId="4" fontId="9" fillId="4" borderId="3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4" borderId="33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/>
    </xf>
    <xf numFmtId="168" fontId="0" fillId="0" borderId="23" xfId="157" applyNumberFormat="1" applyFont="1" applyBorder="1" applyAlignment="1">
      <alignment/>
    </xf>
    <xf numFmtId="0" fontId="5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8" fontId="0" fillId="0" borderId="34" xfId="157" applyNumberFormat="1" applyFont="1" applyFill="1" applyBorder="1" applyAlignment="1">
      <alignment/>
    </xf>
    <xf numFmtId="166" fontId="0" fillId="0" borderId="35" xfId="157" applyNumberFormat="1" applyFont="1" applyFill="1" applyBorder="1" applyAlignment="1">
      <alignment/>
    </xf>
    <xf numFmtId="168" fontId="0" fillId="0" borderId="36" xfId="157" applyNumberFormat="1" applyFont="1" applyFill="1" applyBorder="1" applyAlignment="1">
      <alignment/>
    </xf>
    <xf numFmtId="166" fontId="0" fillId="0" borderId="37" xfId="157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166" fontId="0" fillId="0" borderId="20" xfId="157" applyNumberFormat="1" applyFont="1" applyFill="1" applyBorder="1" applyAlignment="1">
      <alignment/>
    </xf>
    <xf numFmtId="168" fontId="0" fillId="0" borderId="38" xfId="157" applyNumberFormat="1" applyFont="1" applyFill="1" applyBorder="1" applyAlignment="1">
      <alignment/>
    </xf>
    <xf numFmtId="168" fontId="0" fillId="0" borderId="36" xfId="157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6" fontId="0" fillId="24" borderId="23" xfId="157" applyNumberFormat="1" applyFont="1" applyFill="1" applyBorder="1" applyAlignment="1" quotePrefix="1">
      <alignment horizontal="right"/>
    </xf>
    <xf numFmtId="4" fontId="0" fillId="0" borderId="23" xfId="0" applyNumberFormat="1" applyFont="1" applyBorder="1" applyAlignment="1">
      <alignment/>
    </xf>
    <xf numFmtId="3" fontId="5" fillId="7" borderId="23" xfId="0" applyNumberFormat="1" applyFont="1" applyFill="1" applyBorder="1" applyAlignment="1">
      <alignment horizontal="right" vertical="top" wrapText="1"/>
    </xf>
    <xf numFmtId="166" fontId="5" fillId="7" borderId="23" xfId="157" applyNumberFormat="1" applyFont="1" applyFill="1" applyBorder="1" applyAlignment="1" quotePrefix="1">
      <alignment horizontal="right"/>
    </xf>
    <xf numFmtId="4" fontId="5" fillId="7" borderId="23" xfId="0" applyNumberFormat="1" applyFont="1" applyFill="1" applyBorder="1" applyAlignment="1">
      <alignment/>
    </xf>
    <xf numFmtId="168" fontId="0" fillId="24" borderId="23" xfId="157" applyNumberFormat="1" applyFont="1" applyFill="1" applyBorder="1" applyAlignment="1">
      <alignment/>
    </xf>
    <xf numFmtId="168" fontId="0" fillId="24" borderId="23" xfId="157" applyNumberFormat="1" applyFont="1" applyFill="1" applyBorder="1" applyAlignment="1" quotePrefix="1">
      <alignment horizontal="right"/>
    </xf>
    <xf numFmtId="168" fontId="5" fillId="24" borderId="23" xfId="157" applyNumberFormat="1" applyFont="1" applyFill="1" applyBorder="1" applyAlignment="1">
      <alignment/>
    </xf>
    <xf numFmtId="168" fontId="5" fillId="24" borderId="23" xfId="157" applyNumberFormat="1" applyFont="1" applyFill="1" applyBorder="1" applyAlignment="1" quotePrefix="1">
      <alignment horizontal="right"/>
    </xf>
    <xf numFmtId="4" fontId="5" fillId="0" borderId="23" xfId="0" applyNumberFormat="1" applyFont="1" applyBorder="1" applyAlignment="1">
      <alignment/>
    </xf>
    <xf numFmtId="168" fontId="5" fillId="7" borderId="25" xfId="157" applyNumberFormat="1" applyFont="1" applyFill="1" applyBorder="1" applyAlignment="1">
      <alignment horizontal="right" vertical="center"/>
    </xf>
    <xf numFmtId="168" fontId="5" fillId="7" borderId="23" xfId="157" applyNumberFormat="1" applyFont="1" applyFill="1" applyBorder="1" applyAlignment="1">
      <alignment horizontal="right" vertical="center"/>
    </xf>
    <xf numFmtId="168" fontId="5" fillId="7" borderId="23" xfId="157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5" fillId="7" borderId="26" xfId="0" applyNumberFormat="1" applyFont="1" applyFill="1" applyBorder="1" applyAlignment="1">
      <alignment horizontal="centerContinuous"/>
    </xf>
    <xf numFmtId="2" fontId="5" fillId="7" borderId="27" xfId="0" applyNumberFormat="1" applyFont="1" applyFill="1" applyBorder="1" applyAlignment="1">
      <alignment horizontal="centerContinuous"/>
    </xf>
    <xf numFmtId="0" fontId="0" fillId="23" borderId="38" xfId="0" applyFont="1" applyFill="1" applyBorder="1" applyAlignment="1">
      <alignment horizontal="right"/>
    </xf>
    <xf numFmtId="0" fontId="0" fillId="23" borderId="39" xfId="0" applyFont="1" applyFill="1" applyBorder="1" applyAlignment="1">
      <alignment horizontal="right"/>
    </xf>
    <xf numFmtId="0" fontId="0" fillId="23" borderId="2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30" fillId="0" borderId="40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36" xfId="0" applyFont="1" applyBorder="1" applyAlignment="1">
      <alignment horizontal="center"/>
    </xf>
    <xf numFmtId="0" fontId="29" fillId="25" borderId="27" xfId="0" applyFont="1" applyFill="1" applyBorder="1" applyAlignment="1">
      <alignment/>
    </xf>
    <xf numFmtId="0" fontId="29" fillId="25" borderId="2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27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3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5" borderId="0" xfId="0" applyFont="1" applyFill="1" applyAlignment="1">
      <alignment/>
    </xf>
    <xf numFmtId="1" fontId="29" fillId="25" borderId="26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29" fillId="25" borderId="39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9" fillId="25" borderId="35" xfId="0" applyFont="1" applyFill="1" applyBorder="1" applyAlignment="1">
      <alignment/>
    </xf>
    <xf numFmtId="167" fontId="29" fillId="0" borderId="36" xfId="0" applyNumberFormat="1" applyFont="1" applyFill="1" applyBorder="1" applyAlignment="1">
      <alignment horizontal="center"/>
    </xf>
    <xf numFmtId="167" fontId="29" fillId="0" borderId="34" xfId="0" applyNumberFormat="1" applyFont="1" applyBorder="1" applyAlignment="1">
      <alignment horizontal="center"/>
    </xf>
    <xf numFmtId="167" fontId="29" fillId="0" borderId="36" xfId="0" applyNumberFormat="1" applyFont="1" applyBorder="1" applyAlignment="1">
      <alignment horizontal="center"/>
    </xf>
    <xf numFmtId="167" fontId="29" fillId="0" borderId="26" xfId="0" applyNumberFormat="1" applyFont="1" applyBorder="1" applyAlignment="1">
      <alignment horizontal="center"/>
    </xf>
    <xf numFmtId="167" fontId="29" fillId="25" borderId="36" xfId="0" applyNumberFormat="1" applyFont="1" applyFill="1" applyBorder="1" applyAlignment="1">
      <alignment horizontal="center"/>
    </xf>
    <xf numFmtId="167" fontId="29" fillId="25" borderId="26" xfId="0" applyNumberFormat="1" applyFont="1" applyFill="1" applyBorder="1" applyAlignment="1">
      <alignment horizontal="center"/>
    </xf>
    <xf numFmtId="167" fontId="29" fillId="25" borderId="23" xfId="0" applyNumberFormat="1" applyFont="1" applyFill="1" applyBorder="1" applyAlignment="1">
      <alignment horizontal="center"/>
    </xf>
    <xf numFmtId="0" fontId="29" fillId="25" borderId="18" xfId="0" applyFont="1" applyFill="1" applyBorder="1" applyAlignment="1">
      <alignment/>
    </xf>
    <xf numFmtId="167" fontId="29" fillId="25" borderId="38" xfId="0" applyNumberFormat="1" applyFont="1" applyFill="1" applyBorder="1" applyAlignment="1">
      <alignment horizontal="center"/>
    </xf>
    <xf numFmtId="0" fontId="29" fillId="0" borderId="0" xfId="123" applyFont="1" applyFill="1" applyBorder="1" applyAlignment="1">
      <alignment horizontal="center" vertical="center"/>
      <protection/>
    </xf>
    <xf numFmtId="0" fontId="31" fillId="0" borderId="0" xfId="123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2" fillId="0" borderId="0" xfId="126" applyFont="1" applyBorder="1" applyAlignment="1">
      <alignment vertical="center"/>
      <protection/>
    </xf>
    <xf numFmtId="0" fontId="0" fillId="0" borderId="0" xfId="123" applyFont="1" applyFill="1" applyBorder="1" applyAlignment="1">
      <alignment vertical="center"/>
      <protection/>
    </xf>
    <xf numFmtId="0" fontId="0" fillId="26" borderId="0" xfId="123" applyFont="1" applyFill="1" applyBorder="1" applyAlignment="1">
      <alignment vertical="center"/>
      <protection/>
    </xf>
    <xf numFmtId="0" fontId="34" fillId="27" borderId="0" xfId="0" applyFont="1" applyFill="1" applyBorder="1" applyAlignment="1">
      <alignment horizontal="center" vertical="center"/>
    </xf>
    <xf numFmtId="0" fontId="0" fillId="24" borderId="0" xfId="123" applyFont="1" applyFill="1" applyBorder="1" applyAlignment="1">
      <alignment vertical="center"/>
      <protection/>
    </xf>
    <xf numFmtId="0" fontId="7" fillId="0" borderId="0" xfId="123" applyFont="1" applyBorder="1">
      <alignment/>
      <protection/>
    </xf>
    <xf numFmtId="0" fontId="29" fillId="25" borderId="38" xfId="0" applyFont="1" applyFill="1" applyBorder="1" applyAlignment="1">
      <alignment horizontal="center"/>
    </xf>
    <xf numFmtId="0" fontId="29" fillId="25" borderId="25" xfId="0" applyFont="1" applyFill="1" applyBorder="1" applyAlignment="1">
      <alignment/>
    </xf>
    <xf numFmtId="0" fontId="29" fillId="0" borderId="26" xfId="0" applyFont="1" applyFill="1" applyBorder="1" applyAlignment="1">
      <alignment horizontal="center"/>
    </xf>
    <xf numFmtId="1" fontId="29" fillId="0" borderId="2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vertical="center"/>
    </xf>
    <xf numFmtId="0" fontId="2" fillId="24" borderId="0" xfId="128" applyFont="1" applyFill="1" applyBorder="1">
      <alignment/>
      <protection/>
    </xf>
    <xf numFmtId="170" fontId="2" fillId="24" borderId="0" xfId="128" applyNumberFormat="1" applyFont="1" applyFill="1" applyBorder="1">
      <alignment/>
      <protection/>
    </xf>
    <xf numFmtId="2" fontId="4" fillId="0" borderId="0" xfId="128" applyNumberFormat="1" applyFont="1" applyAlignment="1">
      <alignment horizontal="left"/>
      <protection/>
    </xf>
    <xf numFmtId="2" fontId="3" fillId="0" borderId="0" xfId="128" applyNumberFormat="1" applyFont="1" applyAlignment="1">
      <alignment horizontal="left"/>
      <protection/>
    </xf>
    <xf numFmtId="0" fontId="3" fillId="0" borderId="0" xfId="122" applyFont="1" applyAlignment="1">
      <alignment vertical="center"/>
      <protection/>
    </xf>
    <xf numFmtId="0" fontId="3" fillId="0" borderId="0" xfId="128" applyFont="1" applyAlignment="1">
      <alignment vertical="center"/>
      <protection/>
    </xf>
    <xf numFmtId="0" fontId="4" fillId="0" borderId="0" xfId="128" applyFont="1">
      <alignment/>
      <protection/>
    </xf>
    <xf numFmtId="0" fontId="3" fillId="0" borderId="0" xfId="128" applyFont="1">
      <alignment/>
      <protection/>
    </xf>
    <xf numFmtId="0" fontId="3" fillId="0" borderId="0" xfId="124" applyFont="1" applyAlignment="1">
      <alignment vertical="center"/>
      <protection/>
    </xf>
    <xf numFmtId="0" fontId="3" fillId="0" borderId="0" xfId="128" applyFont="1" applyAlignment="1">
      <alignment horizontal="center" vertical="center"/>
      <protection/>
    </xf>
    <xf numFmtId="49" fontId="3" fillId="0" borderId="0" xfId="128" applyNumberFormat="1" applyFont="1" applyAlignment="1">
      <alignment vertical="center"/>
      <protection/>
    </xf>
    <xf numFmtId="0" fontId="4" fillId="0" borderId="0" xfId="128" applyFont="1" applyAlignment="1">
      <alignment vertical="center"/>
      <protection/>
    </xf>
    <xf numFmtId="0" fontId="4" fillId="24" borderId="0" xfId="128" applyFont="1" applyFill="1" applyBorder="1">
      <alignment/>
      <protection/>
    </xf>
    <xf numFmtId="49" fontId="4" fillId="0" borderId="0" xfId="128" applyNumberFormat="1" applyFont="1" applyAlignment="1">
      <alignment horizontal="center" vertical="center" wrapText="1"/>
      <protection/>
    </xf>
    <xf numFmtId="10" fontId="4" fillId="0" borderId="0" xfId="133" applyNumberFormat="1" applyFont="1" applyAlignment="1">
      <alignment horizontal="right" vertical="center"/>
    </xf>
    <xf numFmtId="170" fontId="4" fillId="24" borderId="0" xfId="128" applyNumberFormat="1" applyFont="1" applyFill="1" applyBorder="1">
      <alignment/>
      <protection/>
    </xf>
    <xf numFmtId="49" fontId="4" fillId="0" borderId="0" xfId="128" applyNumberFormat="1" applyFont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169" fontId="2" fillId="24" borderId="0" xfId="128" applyNumberFormat="1" applyFont="1" applyFill="1" applyBorder="1">
      <alignment/>
      <protection/>
    </xf>
    <xf numFmtId="164" fontId="0" fillId="0" borderId="23" xfId="157" applyNumberFormat="1" applyFont="1" applyBorder="1" applyAlignment="1">
      <alignment horizontal="right" vertical="center"/>
    </xf>
    <xf numFmtId="164" fontId="0" fillId="0" borderId="23" xfId="15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164" fontId="5" fillId="0" borderId="0" xfId="157" applyNumberFormat="1" applyFont="1" applyAlignment="1">
      <alignment vertical="center"/>
    </xf>
    <xf numFmtId="171" fontId="5" fillId="0" borderId="0" xfId="157" applyNumberFormat="1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0" fillId="0" borderId="0" xfId="157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3" fillId="0" borderId="0" xfId="157" applyNumberFormat="1" applyFont="1" applyBorder="1" applyAlignment="1">
      <alignment vertical="center"/>
    </xf>
    <xf numFmtId="164" fontId="13" fillId="0" borderId="0" xfId="157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168" fontId="4" fillId="24" borderId="0" xfId="128" applyNumberFormat="1" applyFont="1" applyFill="1" applyBorder="1">
      <alignment/>
      <protection/>
    </xf>
    <xf numFmtId="174" fontId="4" fillId="24" borderId="0" xfId="128" applyNumberFormat="1" applyFont="1" applyFill="1" applyBorder="1">
      <alignment/>
      <protection/>
    </xf>
    <xf numFmtId="0" fontId="13" fillId="0" borderId="0" xfId="0" applyFont="1" applyAlignment="1">
      <alignment/>
    </xf>
    <xf numFmtId="0" fontId="29" fillId="25" borderId="25" xfId="0" applyFont="1" applyFill="1" applyBorder="1" applyAlignment="1">
      <alignment horizontal="center"/>
    </xf>
    <xf numFmtId="0" fontId="24" fillId="0" borderId="0" xfId="123" applyFont="1" applyFill="1" applyBorder="1" applyAlignment="1">
      <alignment horizontal="center" vertical="center"/>
      <protection/>
    </xf>
    <xf numFmtId="0" fontId="7" fillId="0" borderId="0" xfId="123" applyFont="1">
      <alignment/>
      <protection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2" fontId="1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2" fillId="0" borderId="0" xfId="0" applyFont="1" applyBorder="1" applyAlignment="1">
      <alignment/>
    </xf>
    <xf numFmtId="0" fontId="6" fillId="0" borderId="0" xfId="0" applyFont="1" applyBorder="1" applyAlignment="1">
      <alignment/>
    </xf>
    <xf numFmtId="16" fontId="5" fillId="4" borderId="23" xfId="0" applyNumberFormat="1" applyFont="1" applyFill="1" applyBorder="1" applyAlignment="1">
      <alignment horizontal="center" vertical="center"/>
    </xf>
    <xf numFmtId="164" fontId="5" fillId="0" borderId="23" xfId="157" applyNumberFormat="1" applyFont="1" applyBorder="1" applyAlignment="1">
      <alignment horizontal="right" vertical="center"/>
    </xf>
    <xf numFmtId="172" fontId="0" fillId="0" borderId="23" xfId="157" applyNumberFormat="1" applyFont="1" applyFill="1" applyBorder="1" applyAlignment="1" applyProtection="1">
      <alignment horizontal="right" vertical="center"/>
      <protection/>
    </xf>
    <xf numFmtId="172" fontId="0" fillId="0" borderId="23" xfId="157" applyNumberFormat="1" applyFont="1" applyFill="1" applyBorder="1" applyAlignment="1" applyProtection="1">
      <alignment vertical="center"/>
      <protection/>
    </xf>
    <xf numFmtId="172" fontId="0" fillId="28" borderId="23" xfId="157" applyNumberFormat="1" applyFont="1" applyFill="1" applyBorder="1" applyAlignment="1" applyProtection="1">
      <alignment horizontal="right" vertical="center"/>
      <protection/>
    </xf>
    <xf numFmtId="172" fontId="0" fillId="24" borderId="23" xfId="157" applyNumberFormat="1" applyFont="1" applyFill="1" applyBorder="1" applyAlignment="1" applyProtection="1">
      <alignment horizontal="right" vertical="center"/>
      <protection/>
    </xf>
    <xf numFmtId="172" fontId="5" fillId="0" borderId="23" xfId="157" applyNumberFormat="1" applyFont="1" applyFill="1" applyBorder="1" applyAlignment="1" applyProtection="1">
      <alignment horizontal="right" vertical="center"/>
      <protection/>
    </xf>
    <xf numFmtId="172" fontId="5" fillId="24" borderId="23" xfId="157" applyNumberFormat="1" applyFont="1" applyFill="1" applyBorder="1" applyAlignment="1" applyProtection="1">
      <alignment horizontal="right" vertical="center"/>
      <protection/>
    </xf>
    <xf numFmtId="49" fontId="54" fillId="0" borderId="0" xfId="128" applyNumberFormat="1" applyFont="1" applyFill="1" applyAlignment="1">
      <alignment horizontal="left" vertical="center" indent="1"/>
      <protection/>
    </xf>
    <xf numFmtId="168" fontId="54" fillId="0" borderId="0" xfId="157" applyNumberFormat="1" applyFont="1" applyAlignment="1">
      <alignment/>
    </xf>
    <xf numFmtId="169" fontId="54" fillId="0" borderId="0" xfId="133" applyNumberFormat="1" applyFont="1" applyFill="1" applyAlignment="1">
      <alignment horizontal="right" vertical="center"/>
    </xf>
    <xf numFmtId="49" fontId="53" fillId="0" borderId="0" xfId="128" applyNumberFormat="1" applyFont="1" applyFill="1" applyAlignment="1">
      <alignment horizontal="left" vertical="center" indent="1"/>
      <protection/>
    </xf>
    <xf numFmtId="170" fontId="53" fillId="0" borderId="0" xfId="128" applyNumberFormat="1" applyFont="1" applyFill="1" applyAlignment="1">
      <alignment horizontal="right" vertical="center"/>
      <protection/>
    </xf>
    <xf numFmtId="169" fontId="53" fillId="0" borderId="0" xfId="133" applyNumberFormat="1" applyFont="1" applyFill="1" applyAlignment="1">
      <alignment horizontal="right" vertical="center"/>
    </xf>
    <xf numFmtId="0" fontId="54" fillId="24" borderId="0" xfId="128" applyFont="1" applyFill="1" applyBorder="1">
      <alignment/>
      <protection/>
    </xf>
    <xf numFmtId="2" fontId="29" fillId="25" borderId="26" xfId="0" applyNumberFormat="1" applyFont="1" applyFill="1" applyBorder="1" applyAlignment="1">
      <alignment horizontal="center"/>
    </xf>
    <xf numFmtId="172" fontId="0" fillId="24" borderId="23" xfId="157" applyNumberFormat="1" applyFont="1" applyFill="1" applyBorder="1" applyAlignment="1" applyProtection="1">
      <alignment horizontal="left" vertical="center"/>
      <protection/>
    </xf>
    <xf numFmtId="168" fontId="0" fillId="0" borderId="23" xfId="157" applyNumberFormat="1" applyFont="1" applyBorder="1" applyAlignment="1">
      <alignment horizontal="right" vertical="center"/>
    </xf>
    <xf numFmtId="172" fontId="0" fillId="24" borderId="23" xfId="157" applyNumberFormat="1" applyFont="1" applyFill="1" applyBorder="1" applyAlignment="1" applyProtection="1">
      <alignment vertical="center"/>
      <protection/>
    </xf>
    <xf numFmtId="164" fontId="5" fillId="0" borderId="23" xfId="157" applyNumberFormat="1" applyFont="1" applyBorder="1" applyAlignment="1">
      <alignment vertical="center"/>
    </xf>
    <xf numFmtId="168" fontId="5" fillId="0" borderId="23" xfId="157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8" fontId="0" fillId="0" borderId="23" xfId="157" applyNumberFormat="1" applyFont="1" applyBorder="1" applyAlignment="1">
      <alignment horizontal="center" vertical="center"/>
    </xf>
    <xf numFmtId="0" fontId="5" fillId="22" borderId="0" xfId="0" applyFont="1" applyFill="1" applyAlignment="1">
      <alignment/>
    </xf>
    <xf numFmtId="0" fontId="0" fillId="0" borderId="20" xfId="0" applyFont="1" applyBorder="1" applyAlignment="1">
      <alignment/>
    </xf>
    <xf numFmtId="168" fontId="5" fillId="7" borderId="25" xfId="157" applyNumberFormat="1" applyFont="1" applyFill="1" applyBorder="1" applyAlignment="1">
      <alignment horizontal="center" vertical="center"/>
    </xf>
    <xf numFmtId="166" fontId="5" fillId="7" borderId="23" xfId="0" applyNumberFormat="1" applyFont="1" applyFill="1" applyBorder="1" applyAlignment="1">
      <alignment horizontal="center" vertical="center"/>
    </xf>
    <xf numFmtId="168" fontId="5" fillId="7" borderId="23" xfId="157" applyNumberFormat="1" applyFont="1" applyFill="1" applyBorder="1" applyAlignment="1">
      <alignment horizontal="center" vertical="center"/>
    </xf>
    <xf numFmtId="0" fontId="57" fillId="0" borderId="0" xfId="106" applyFont="1" applyBorder="1" applyAlignment="1" applyProtection="1">
      <alignment/>
      <protection/>
    </xf>
    <xf numFmtId="0" fontId="0" fillId="0" borderId="0" xfId="125" applyFont="1">
      <alignment/>
      <protection/>
    </xf>
    <xf numFmtId="0" fontId="5" fillId="0" borderId="0" xfId="125" applyFont="1" applyAlignment="1">
      <alignment horizontal="center"/>
      <protection/>
    </xf>
    <xf numFmtId="175" fontId="0" fillId="0" borderId="23" xfId="139" applyNumberFormat="1" applyFont="1" applyBorder="1" applyAlignment="1">
      <alignment/>
    </xf>
    <xf numFmtId="0" fontId="4" fillId="0" borderId="0" xfId="125" applyFont="1">
      <alignment/>
      <protection/>
    </xf>
    <xf numFmtId="175" fontId="0" fillId="0" borderId="0" xfId="125" applyNumberFormat="1" applyFont="1">
      <alignment/>
      <protection/>
    </xf>
    <xf numFmtId="0" fontId="3" fillId="0" borderId="0" xfId="125" applyFont="1" applyFill="1" applyBorder="1">
      <alignment/>
      <protection/>
    </xf>
    <xf numFmtId="0" fontId="5" fillId="0" borderId="0" xfId="125" applyFont="1" applyFill="1" applyBorder="1">
      <alignment/>
      <protection/>
    </xf>
    <xf numFmtId="175" fontId="0" fillId="0" borderId="23" xfId="157" applyNumberFormat="1" applyFont="1" applyBorder="1" applyAlignment="1">
      <alignment/>
    </xf>
    <xf numFmtId="1" fontId="0" fillId="0" borderId="0" xfId="0" applyNumberFormat="1" applyFont="1" applyAlignment="1">
      <alignment/>
    </xf>
    <xf numFmtId="166" fontId="0" fillId="24" borderId="23" xfId="157" applyNumberFormat="1" applyFont="1" applyFill="1" applyBorder="1" applyAlignment="1" quotePrefix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3" fontId="5" fillId="7" borderId="23" xfId="0" applyNumberFormat="1" applyFont="1" applyFill="1" applyBorder="1" applyAlignment="1">
      <alignment horizontal="center" vertical="center" wrapText="1"/>
    </xf>
    <xf numFmtId="4" fontId="5" fillId="7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5" fontId="0" fillId="0" borderId="26" xfId="139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8" fontId="0" fillId="0" borderId="25" xfId="157" applyNumberFormat="1" applyFont="1" applyBorder="1" applyAlignment="1">
      <alignment horizontal="left" vertical="center"/>
    </xf>
    <xf numFmtId="4" fontId="0" fillId="0" borderId="26" xfId="0" applyNumberFormat="1" applyFont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0" fillId="20" borderId="35" xfId="0" applyFont="1" applyFill="1" applyBorder="1" applyAlignment="1">
      <alignment horizontal="centerContinuous"/>
    </xf>
    <xf numFmtId="0" fontId="0" fillId="20" borderId="39" xfId="0" applyFont="1" applyFill="1" applyBorder="1" applyAlignment="1">
      <alignment horizontal="centerContinuous"/>
    </xf>
    <xf numFmtId="0" fontId="0" fillId="23" borderId="25" xfId="0" applyFont="1" applyFill="1" applyBorder="1" applyAlignment="1">
      <alignment/>
    </xf>
    <xf numFmtId="0" fontId="0" fillId="23" borderId="27" xfId="0" applyFont="1" applyFill="1" applyBorder="1" applyAlignment="1">
      <alignment/>
    </xf>
    <xf numFmtId="168" fontId="0" fillId="0" borderId="25" xfId="157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68" fontId="0" fillId="0" borderId="25" xfId="157" applyNumberFormat="1" applyFont="1" applyBorder="1" applyAlignment="1">
      <alignment horizontal="left"/>
    </xf>
    <xf numFmtId="0" fontId="5" fillId="7" borderId="25" xfId="0" applyFont="1" applyFill="1" applyBorder="1" applyAlignment="1">
      <alignment horizontal="center" vertical="top" wrapText="1"/>
    </xf>
    <xf numFmtId="166" fontId="5" fillId="7" borderId="26" xfId="157" applyNumberFormat="1" applyFont="1" applyFill="1" applyBorder="1" applyAlignment="1" quotePrefix="1">
      <alignment horizontal="right"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8" fontId="5" fillId="24" borderId="25" xfId="157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0" fontId="0" fillId="24" borderId="25" xfId="0" applyFont="1" applyFill="1" applyBorder="1" applyAlignment="1">
      <alignment/>
    </xf>
    <xf numFmtId="0" fontId="5" fillId="7" borderId="25" xfId="0" applyFont="1" applyFill="1" applyBorder="1" applyAlignment="1">
      <alignment horizontal="center"/>
    </xf>
    <xf numFmtId="4" fontId="5" fillId="7" borderId="26" xfId="0" applyNumberFormat="1" applyFont="1" applyFill="1" applyBorder="1" applyAlignment="1">
      <alignment/>
    </xf>
    <xf numFmtId="0" fontId="5" fillId="24" borderId="25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8" fontId="0" fillId="0" borderId="26" xfId="157" applyNumberFormat="1" applyFont="1" applyBorder="1" applyAlignment="1">
      <alignment/>
    </xf>
    <xf numFmtId="0" fontId="3" fillId="4" borderId="2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/>
    </xf>
    <xf numFmtId="166" fontId="0" fillId="0" borderId="0" xfId="15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0" fillId="0" borderId="39" xfId="157" applyNumberFormat="1" applyFont="1" applyFill="1" applyBorder="1" applyAlignment="1">
      <alignment/>
    </xf>
    <xf numFmtId="0" fontId="5" fillId="7" borderId="25" xfId="0" applyFont="1" applyFill="1" applyBorder="1" applyAlignment="1">
      <alignment horizontal="center" vertical="center"/>
    </xf>
    <xf numFmtId="166" fontId="5" fillId="7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166" fontId="0" fillId="0" borderId="40" xfId="157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7" borderId="27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vertical="center"/>
    </xf>
    <xf numFmtId="0" fontId="59" fillId="0" borderId="27" xfId="120" applyFont="1" applyBorder="1" applyAlignment="1">
      <alignment horizontal="left" vertical="center"/>
      <protection/>
    </xf>
    <xf numFmtId="177" fontId="5" fillId="0" borderId="26" xfId="157" applyNumberFormat="1" applyFont="1" applyFill="1" applyBorder="1" applyAlignment="1" applyProtection="1">
      <alignment horizontal="center" vertical="center"/>
      <protection/>
    </xf>
    <xf numFmtId="4" fontId="5" fillId="0" borderId="26" xfId="157" applyNumberFormat="1" applyFont="1" applyBorder="1" applyAlignment="1">
      <alignment horizontal="center" vertical="center"/>
    </xf>
    <xf numFmtId="0" fontId="60" fillId="0" borderId="41" xfId="120" applyFont="1" applyBorder="1" applyAlignment="1">
      <alignment horizontal="left" vertical="center" indent="1"/>
      <protection/>
    </xf>
    <xf numFmtId="177" fontId="0" fillId="0" borderId="42" xfId="157" applyNumberFormat="1" applyFont="1" applyFill="1" applyBorder="1" applyAlignment="1" applyProtection="1">
      <alignment vertical="center"/>
      <protection/>
    </xf>
    <xf numFmtId="177" fontId="0" fillId="0" borderId="43" xfId="157" applyNumberFormat="1" applyFont="1" applyFill="1" applyBorder="1" applyAlignment="1" applyProtection="1">
      <alignment vertical="center"/>
      <protection locked="0"/>
    </xf>
    <xf numFmtId="177" fontId="60" fillId="0" borderId="43" xfId="158" applyNumberFormat="1" applyFont="1" applyFill="1" applyBorder="1" applyAlignment="1" applyProtection="1">
      <alignment vertical="center"/>
      <protection/>
    </xf>
    <xf numFmtId="177" fontId="60" fillId="0" borderId="44" xfId="158" applyNumberFormat="1" applyFont="1" applyFill="1" applyBorder="1" applyAlignment="1" applyProtection="1">
      <alignment vertical="center"/>
      <protection/>
    </xf>
    <xf numFmtId="164" fontId="0" fillId="0" borderId="45" xfId="157" applyNumberFormat="1" applyFont="1" applyBorder="1" applyAlignment="1">
      <alignment horizontal="right" vertical="center"/>
    </xf>
    <xf numFmtId="4" fontId="0" fillId="0" borderId="46" xfId="157" applyNumberFormat="1" applyFont="1" applyBorder="1" applyAlignment="1">
      <alignment horizontal="center" vertical="center"/>
    </xf>
    <xf numFmtId="0" fontId="60" fillId="0" borderId="47" xfId="120" applyFont="1" applyBorder="1" applyAlignment="1">
      <alignment horizontal="left" vertical="center" wrapText="1" indent="1"/>
      <protection/>
    </xf>
    <xf numFmtId="177" fontId="0" fillId="0" borderId="48" xfId="157" applyNumberFormat="1" applyFont="1" applyFill="1" applyBorder="1" applyAlignment="1" applyProtection="1">
      <alignment vertical="center"/>
      <protection/>
    </xf>
    <xf numFmtId="177" fontId="0" fillId="0" borderId="49" xfId="157" applyNumberFormat="1" applyFont="1" applyFill="1" applyBorder="1" applyAlignment="1" applyProtection="1">
      <alignment vertical="center"/>
      <protection locked="0"/>
    </xf>
    <xf numFmtId="177" fontId="60" fillId="0" borderId="49" xfId="158" applyNumberFormat="1" applyFont="1" applyFill="1" applyBorder="1" applyAlignment="1" applyProtection="1">
      <alignment vertical="center"/>
      <protection/>
    </xf>
    <xf numFmtId="177" fontId="60" fillId="0" borderId="0" xfId="158" applyNumberFormat="1" applyFont="1" applyFill="1" applyBorder="1" applyAlignment="1" applyProtection="1">
      <alignment vertical="center"/>
      <protection/>
    </xf>
    <xf numFmtId="164" fontId="0" fillId="0" borderId="21" xfId="157" applyNumberFormat="1" applyFont="1" applyBorder="1" applyAlignment="1">
      <alignment horizontal="right" vertical="center"/>
    </xf>
    <xf numFmtId="4" fontId="0" fillId="0" borderId="38" xfId="157" applyNumberFormat="1" applyFont="1" applyBorder="1" applyAlignment="1">
      <alignment horizontal="center" vertical="center"/>
    </xf>
    <xf numFmtId="0" fontId="60" fillId="0" borderId="41" xfId="120" applyFont="1" applyBorder="1" applyAlignment="1">
      <alignment horizontal="left" vertical="center" wrapText="1" indent="1"/>
      <protection/>
    </xf>
    <xf numFmtId="177" fontId="60" fillId="0" borderId="41" xfId="158" applyNumberFormat="1" applyFont="1" applyFill="1" applyBorder="1" applyAlignment="1" applyProtection="1">
      <alignment vertical="center"/>
      <protection/>
    </xf>
    <xf numFmtId="0" fontId="60" fillId="0" borderId="50" xfId="120" applyFont="1" applyBorder="1" applyAlignment="1">
      <alignment horizontal="left" vertical="center" wrapText="1" indent="1"/>
      <protection/>
    </xf>
    <xf numFmtId="177" fontId="0" fillId="0" borderId="51" xfId="157" applyNumberFormat="1" applyFont="1" applyFill="1" applyBorder="1" applyAlignment="1" applyProtection="1">
      <alignment vertical="center"/>
      <protection/>
    </xf>
    <xf numFmtId="177" fontId="0" fillId="0" borderId="52" xfId="157" applyNumberFormat="1" applyFont="1" applyFill="1" applyBorder="1" applyAlignment="1" applyProtection="1">
      <alignment vertical="center"/>
      <protection locked="0"/>
    </xf>
    <xf numFmtId="177" fontId="60" fillId="0" borderId="52" xfId="158" applyNumberFormat="1" applyFont="1" applyFill="1" applyBorder="1" applyAlignment="1" applyProtection="1">
      <alignment vertical="center"/>
      <protection/>
    </xf>
    <xf numFmtId="177" fontId="60" fillId="0" borderId="50" xfId="158" applyNumberFormat="1" applyFont="1" applyFill="1" applyBorder="1" applyAlignment="1" applyProtection="1">
      <alignment vertical="center"/>
      <protection/>
    </xf>
    <xf numFmtId="164" fontId="0" fillId="0" borderId="53" xfId="157" applyNumberFormat="1" applyFont="1" applyBorder="1" applyAlignment="1">
      <alignment horizontal="right" vertical="center"/>
    </xf>
    <xf numFmtId="4" fontId="0" fillId="0" borderId="54" xfId="157" applyNumberFormat="1" applyFont="1" applyBorder="1" applyAlignment="1">
      <alignment horizontal="center" vertical="center"/>
    </xf>
    <xf numFmtId="164" fontId="0" fillId="0" borderId="55" xfId="157" applyNumberFormat="1" applyFont="1" applyBorder="1" applyAlignment="1">
      <alignment horizontal="right" vertical="center"/>
    </xf>
    <xf numFmtId="4" fontId="0" fillId="0" borderId="56" xfId="157" applyNumberFormat="1" applyFont="1" applyBorder="1" applyAlignment="1">
      <alignment horizontal="center" vertical="center"/>
    </xf>
    <xf numFmtId="177" fontId="60" fillId="0" borderId="47" xfId="158" applyNumberFormat="1" applyFont="1" applyFill="1" applyBorder="1" applyAlignment="1" applyProtection="1">
      <alignment vertical="center"/>
      <protection/>
    </xf>
    <xf numFmtId="177" fontId="59" fillId="0" borderId="47" xfId="158" applyNumberFormat="1" applyFont="1" applyFill="1" applyBorder="1" applyAlignment="1" applyProtection="1">
      <alignment vertical="center"/>
      <protection/>
    </xf>
    <xf numFmtId="176" fontId="0" fillId="0" borderId="57" xfId="157" applyNumberFormat="1" applyFont="1" applyFill="1" applyBorder="1" applyAlignment="1" applyProtection="1">
      <alignment horizontal="left" vertical="center" indent="1"/>
      <protection/>
    </xf>
    <xf numFmtId="177" fontId="59" fillId="0" borderId="41" xfId="158" applyNumberFormat="1" applyFont="1" applyFill="1" applyBorder="1" applyAlignment="1" applyProtection="1">
      <alignment vertical="center"/>
      <protection/>
    </xf>
    <xf numFmtId="176" fontId="4" fillId="0" borderId="57" xfId="157" applyNumberFormat="1" applyFont="1" applyFill="1" applyBorder="1" applyAlignment="1" applyProtection="1">
      <alignment horizontal="left" vertical="center" wrapText="1" indent="1"/>
      <protection/>
    </xf>
    <xf numFmtId="176" fontId="4" fillId="0" borderId="57" xfId="157" applyNumberFormat="1" applyFont="1" applyFill="1" applyBorder="1" applyAlignment="1" applyProtection="1">
      <alignment horizontal="left" vertical="center" indent="1"/>
      <protection/>
    </xf>
    <xf numFmtId="164" fontId="0" fillId="0" borderId="54" xfId="157" applyNumberFormat="1" applyFont="1" applyBorder="1" applyAlignment="1">
      <alignment horizontal="right" vertical="center"/>
    </xf>
    <xf numFmtId="177" fontId="59" fillId="0" borderId="50" xfId="158" applyNumberFormat="1" applyFont="1" applyFill="1" applyBorder="1" applyAlignment="1" applyProtection="1">
      <alignment vertical="center"/>
      <protection/>
    </xf>
    <xf numFmtId="177" fontId="0" fillId="0" borderId="58" xfId="157" applyNumberFormat="1" applyFont="1" applyFill="1" applyBorder="1" applyAlignment="1" applyProtection="1">
      <alignment vertical="center"/>
      <protection locked="0"/>
    </xf>
    <xf numFmtId="0" fontId="60" fillId="0" borderId="59" xfId="120" applyFont="1" applyBorder="1" applyAlignment="1">
      <alignment horizontal="left" vertical="center" wrapText="1" indent="1"/>
      <protection/>
    </xf>
    <xf numFmtId="177" fontId="0" fillId="0" borderId="60" xfId="157" applyNumberFormat="1" applyFont="1" applyFill="1" applyBorder="1" applyAlignment="1" applyProtection="1">
      <alignment vertical="center"/>
      <protection/>
    </xf>
    <xf numFmtId="177" fontId="0" fillId="0" borderId="61" xfId="157" applyNumberFormat="1" applyFont="1" applyFill="1" applyBorder="1" applyAlignment="1" applyProtection="1">
      <alignment vertical="center"/>
      <protection/>
    </xf>
    <xf numFmtId="177" fontId="0" fillId="0" borderId="62" xfId="157" applyNumberFormat="1" applyFont="1" applyFill="1" applyBorder="1" applyAlignment="1" applyProtection="1">
      <alignment vertical="center"/>
      <protection locked="0"/>
    </xf>
    <xf numFmtId="177" fontId="60" fillId="0" borderId="62" xfId="158" applyNumberFormat="1" applyFont="1" applyFill="1" applyBorder="1" applyAlignment="1" applyProtection="1">
      <alignment vertical="center"/>
      <protection/>
    </xf>
    <xf numFmtId="177" fontId="59" fillId="0" borderId="18" xfId="158" applyNumberFormat="1" applyFont="1" applyFill="1" applyBorder="1" applyAlignment="1" applyProtection="1">
      <alignment vertical="center"/>
      <protection/>
    </xf>
    <xf numFmtId="164" fontId="0" fillId="0" borderId="30" xfId="157" applyNumberFormat="1" applyFont="1" applyBorder="1" applyAlignment="1">
      <alignment horizontal="right" vertical="center"/>
    </xf>
    <xf numFmtId="4" fontId="0" fillId="0" borderId="63" xfId="157" applyNumberFormat="1" applyFont="1" applyBorder="1" applyAlignment="1">
      <alignment horizontal="center" vertical="center"/>
    </xf>
    <xf numFmtId="0" fontId="59" fillId="0" borderId="64" xfId="120" applyFont="1" applyBorder="1" applyAlignment="1">
      <alignment horizontal="left" vertical="center"/>
      <protection/>
    </xf>
    <xf numFmtId="177" fontId="5" fillId="0" borderId="65" xfId="157" applyNumberFormat="1" applyFont="1" applyFill="1" applyBorder="1" applyAlignment="1" applyProtection="1">
      <alignment horizontal="center" vertical="center"/>
      <protection/>
    </xf>
    <xf numFmtId="177" fontId="5" fillId="0" borderId="66" xfId="157" applyNumberFormat="1" applyFont="1" applyFill="1" applyBorder="1" applyAlignment="1" applyProtection="1">
      <alignment vertical="center"/>
      <protection locked="0"/>
    </xf>
    <xf numFmtId="177" fontId="59" fillId="0" borderId="66" xfId="158" applyNumberFormat="1" applyFont="1" applyFill="1" applyBorder="1" applyAlignment="1" applyProtection="1">
      <alignment vertical="center"/>
      <protection/>
    </xf>
    <xf numFmtId="177" fontId="59" fillId="0" borderId="64" xfId="158" applyNumberFormat="1" applyFont="1" applyFill="1" applyBorder="1" applyAlignment="1" applyProtection="1">
      <alignment vertical="center"/>
      <protection/>
    </xf>
    <xf numFmtId="177" fontId="59" fillId="0" borderId="67" xfId="158" applyNumberFormat="1" applyFont="1" applyFill="1" applyBorder="1" applyAlignment="1" applyProtection="1">
      <alignment vertical="center"/>
      <protection/>
    </xf>
    <xf numFmtId="4" fontId="5" fillId="0" borderId="65" xfId="157" applyNumberFormat="1" applyFont="1" applyBorder="1" applyAlignment="1">
      <alignment horizontal="center" vertical="center"/>
    </xf>
    <xf numFmtId="4" fontId="5" fillId="0" borderId="63" xfId="157" applyNumberFormat="1" applyFont="1" applyBorder="1" applyAlignment="1">
      <alignment horizontal="center" vertical="center"/>
    </xf>
    <xf numFmtId="177" fontId="5" fillId="0" borderId="61" xfId="157" applyNumberFormat="1" applyFont="1" applyFill="1" applyBorder="1" applyAlignment="1" applyProtection="1">
      <alignment horizontal="center" vertical="center"/>
      <protection/>
    </xf>
    <xf numFmtId="0" fontId="5" fillId="4" borderId="68" xfId="0" applyFont="1" applyFill="1" applyBorder="1" applyAlignment="1">
      <alignment horizontal="center" vertical="center"/>
    </xf>
    <xf numFmtId="177" fontId="5" fillId="4" borderId="60" xfId="157" applyNumberFormat="1" applyFont="1" applyFill="1" applyBorder="1" applyAlignment="1" applyProtection="1">
      <alignment horizontal="center" vertical="center"/>
      <protection/>
    </xf>
    <xf numFmtId="177" fontId="5" fillId="4" borderId="61" xfId="157" applyNumberFormat="1" applyFont="1" applyFill="1" applyBorder="1" applyAlignment="1" applyProtection="1">
      <alignment horizontal="center" vertical="center"/>
      <protection/>
    </xf>
    <xf numFmtId="4" fontId="5" fillId="4" borderId="65" xfId="157" applyNumberFormat="1" applyFont="1" applyFill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/>
    </xf>
    <xf numFmtId="3" fontId="5" fillId="7" borderId="23" xfId="0" applyNumberFormat="1" applyFont="1" applyFill="1" applyBorder="1" applyAlignment="1">
      <alignment horizontal="center" vertical="center"/>
    </xf>
    <xf numFmtId="2" fontId="5" fillId="7" borderId="23" xfId="0" applyNumberFormat="1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4" fontId="0" fillId="0" borderId="26" xfId="157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4" borderId="27" xfId="0" applyFont="1" applyFill="1" applyBorder="1" applyAlignment="1">
      <alignment horizontal="center" vertical="center"/>
    </xf>
    <xf numFmtId="4" fontId="5" fillId="4" borderId="27" xfId="157" applyNumberFormat="1" applyFont="1" applyFill="1" applyBorder="1" applyAlignment="1">
      <alignment horizontal="center" vertical="center"/>
    </xf>
    <xf numFmtId="49" fontId="3" fillId="7" borderId="26" xfId="127" applyNumberFormat="1" applyFont="1" applyFill="1" applyBorder="1" applyAlignment="1">
      <alignment horizontal="center" vertical="center" wrapText="1"/>
      <protection/>
    </xf>
    <xf numFmtId="49" fontId="3" fillId="7" borderId="23" xfId="127" applyNumberFormat="1" applyFont="1" applyFill="1" applyBorder="1" applyAlignment="1">
      <alignment horizontal="center" vertical="center" wrapText="1"/>
      <protection/>
    </xf>
    <xf numFmtId="49" fontId="55" fillId="7" borderId="23" xfId="128" applyNumberFormat="1" applyFont="1" applyFill="1" applyBorder="1" applyAlignment="1">
      <alignment horizontal="left" vertical="center" indent="1"/>
      <protection/>
    </xf>
    <xf numFmtId="170" fontId="55" fillId="7" borderId="23" xfId="128" applyNumberFormat="1" applyFont="1" applyFill="1" applyBorder="1" applyAlignment="1">
      <alignment vertical="center"/>
      <protection/>
    </xf>
    <xf numFmtId="169" fontId="53" fillId="7" borderId="23" xfId="133" applyNumberFormat="1" applyFont="1" applyFill="1" applyBorder="1" applyAlignment="1">
      <alignment horizontal="right" vertical="center"/>
    </xf>
    <xf numFmtId="0" fontId="5" fillId="7" borderId="20" xfId="125" applyFont="1" applyFill="1" applyBorder="1" applyAlignment="1">
      <alignment horizontal="center" vertical="center"/>
      <protection/>
    </xf>
    <xf numFmtId="0" fontId="5" fillId="7" borderId="25" xfId="125" applyFont="1" applyFill="1" applyBorder="1" applyAlignment="1">
      <alignment horizontal="center"/>
      <protection/>
    </xf>
    <xf numFmtId="0" fontId="5" fillId="7" borderId="23" xfId="125" applyFont="1" applyFill="1" applyBorder="1" applyAlignment="1">
      <alignment horizontal="center" vertical="center"/>
      <protection/>
    </xf>
    <xf numFmtId="49" fontId="55" fillId="7" borderId="25" xfId="128" applyNumberFormat="1" applyFont="1" applyFill="1" applyBorder="1" applyAlignment="1">
      <alignment horizontal="left" vertical="center" indent="1"/>
      <protection/>
    </xf>
    <xf numFmtId="169" fontId="53" fillId="7" borderId="26" xfId="133" applyNumberFormat="1" applyFont="1" applyFill="1" applyBorder="1" applyAlignment="1">
      <alignment horizontal="right" vertical="center"/>
    </xf>
    <xf numFmtId="0" fontId="5" fillId="20" borderId="34" xfId="0" applyFont="1" applyFill="1" applyBorder="1" applyAlignment="1">
      <alignment horizontal="center"/>
    </xf>
    <xf numFmtId="1" fontId="3" fillId="20" borderId="34" xfId="0" applyNumberFormat="1" applyFont="1" applyFill="1" applyBorder="1" applyAlignment="1">
      <alignment horizontal="center"/>
    </xf>
    <xf numFmtId="1" fontId="3" fillId="20" borderId="35" xfId="0" applyNumberFormat="1" applyFont="1" applyFill="1" applyBorder="1" applyAlignment="1">
      <alignment horizontal="center"/>
    </xf>
    <xf numFmtId="1" fontId="3" fillId="20" borderId="40" xfId="0" applyNumberFormat="1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Continuous"/>
    </xf>
    <xf numFmtId="2" fontId="3" fillId="20" borderId="0" xfId="0" applyNumberFormat="1" applyFont="1" applyFill="1" applyBorder="1" applyAlignment="1">
      <alignment horizontal="centerContinuous"/>
    </xf>
    <xf numFmtId="2" fontId="3" fillId="20" borderId="36" xfId="0" applyNumberFormat="1" applyFont="1" applyFill="1" applyBorder="1" applyAlignment="1">
      <alignment horizontal="centerContinuous"/>
    </xf>
    <xf numFmtId="2" fontId="3" fillId="20" borderId="37" xfId="0" applyNumberFormat="1" applyFont="1" applyFill="1" applyBorder="1" applyAlignment="1">
      <alignment horizontal="centerContinuous"/>
    </xf>
    <xf numFmtId="0" fontId="3" fillId="20" borderId="0" xfId="0" applyFont="1" applyFill="1" applyBorder="1" applyAlignment="1">
      <alignment horizontal="centerContinuous"/>
    </xf>
    <xf numFmtId="0" fontId="3" fillId="20" borderId="37" xfId="0" applyFont="1" applyFill="1" applyBorder="1" applyAlignment="1">
      <alignment horizontal="centerContinuous"/>
    </xf>
    <xf numFmtId="0" fontId="4" fillId="20" borderId="36" xfId="0" applyFont="1" applyFill="1" applyBorder="1" applyAlignment="1">
      <alignment/>
    </xf>
    <xf numFmtId="0" fontId="4" fillId="20" borderId="38" xfId="0" applyFont="1" applyFill="1" applyBorder="1" applyAlignment="1">
      <alignment/>
    </xf>
    <xf numFmtId="0" fontId="0" fillId="20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0" fontId="5" fillId="20" borderId="23" xfId="0" applyFont="1" applyFill="1" applyBorder="1" applyAlignment="1">
      <alignment horizontal="center"/>
    </xf>
    <xf numFmtId="2" fontId="5" fillId="7" borderId="25" xfId="0" applyNumberFormat="1" applyFont="1" applyFill="1" applyBorder="1" applyAlignment="1">
      <alignment horizontal="centerContinuous"/>
    </xf>
    <xf numFmtId="0" fontId="59" fillId="0" borderId="27" xfId="119" applyFont="1" applyBorder="1" applyAlignment="1">
      <alignment horizontal="left" vertical="center"/>
      <protection/>
    </xf>
    <xf numFmtId="0" fontId="60" fillId="0" borderId="41" xfId="119" applyFont="1" applyBorder="1" applyAlignment="1">
      <alignment horizontal="left" vertical="center" indent="1"/>
      <protection/>
    </xf>
    <xf numFmtId="164" fontId="60" fillId="0" borderId="43" xfId="158" applyNumberFormat="1" applyFont="1" applyFill="1" applyBorder="1" applyAlignment="1" applyProtection="1">
      <alignment vertical="center"/>
      <protection/>
    </xf>
    <xf numFmtId="164" fontId="0" fillId="0" borderId="46" xfId="157" applyNumberFormat="1" applyFont="1" applyBorder="1" applyAlignment="1">
      <alignment horizontal="center" vertical="center"/>
    </xf>
    <xf numFmtId="0" fontId="60" fillId="0" borderId="47" xfId="119" applyFont="1" applyBorder="1" applyAlignment="1">
      <alignment horizontal="left" vertical="center" wrapText="1" indent="1"/>
      <protection/>
    </xf>
    <xf numFmtId="164" fontId="60" fillId="0" borderId="49" xfId="158" applyNumberFormat="1" applyFont="1" applyFill="1" applyBorder="1" applyAlignment="1" applyProtection="1">
      <alignment vertical="center"/>
      <protection/>
    </xf>
    <xf numFmtId="164" fontId="0" fillId="0" borderId="38" xfId="157" applyNumberFormat="1" applyFont="1" applyBorder="1" applyAlignment="1">
      <alignment horizontal="center" vertical="center"/>
    </xf>
    <xf numFmtId="0" fontId="60" fillId="0" borderId="41" xfId="119" applyFont="1" applyBorder="1" applyAlignment="1">
      <alignment horizontal="left" vertical="center" wrapText="1" indent="1"/>
      <protection/>
    </xf>
    <xf numFmtId="164" fontId="0" fillId="0" borderId="42" xfId="157" applyNumberFormat="1" applyFont="1" applyFill="1" applyBorder="1" applyAlignment="1" applyProtection="1">
      <alignment vertical="center"/>
      <protection/>
    </xf>
    <xf numFmtId="0" fontId="60" fillId="0" borderId="50" xfId="119" applyFont="1" applyBorder="1" applyAlignment="1">
      <alignment horizontal="left" vertical="center" wrapText="1" indent="1"/>
      <protection/>
    </xf>
    <xf numFmtId="164" fontId="60" fillId="0" borderId="52" xfId="158" applyNumberFormat="1" applyFont="1" applyFill="1" applyBorder="1" applyAlignment="1" applyProtection="1">
      <alignment vertical="center"/>
      <protection/>
    </xf>
    <xf numFmtId="164" fontId="0" fillId="0" borderId="54" xfId="157" applyNumberFormat="1" applyFont="1" applyBorder="1" applyAlignment="1">
      <alignment horizontal="center" vertical="center"/>
    </xf>
    <xf numFmtId="164" fontId="0" fillId="0" borderId="56" xfId="157" applyNumberFormat="1" applyFont="1" applyBorder="1" applyAlignment="1">
      <alignment horizontal="center" vertical="center"/>
    </xf>
    <xf numFmtId="164" fontId="5" fillId="0" borderId="26" xfId="157" applyNumberFormat="1" applyFont="1" applyFill="1" applyBorder="1" applyAlignment="1" applyProtection="1">
      <alignment horizontal="center" vertical="center"/>
      <protection/>
    </xf>
    <xf numFmtId="0" fontId="60" fillId="0" borderId="59" xfId="119" applyFont="1" applyBorder="1" applyAlignment="1">
      <alignment horizontal="left" vertical="center" wrapText="1" indent="1"/>
      <protection/>
    </xf>
    <xf numFmtId="164" fontId="60" fillId="0" borderId="62" xfId="158" applyNumberFormat="1" applyFont="1" applyFill="1" applyBorder="1" applyAlignment="1" applyProtection="1">
      <alignment vertical="center"/>
      <protection/>
    </xf>
    <xf numFmtId="164" fontId="0" fillId="0" borderId="63" xfId="157" applyNumberFormat="1" applyFont="1" applyBorder="1" applyAlignment="1">
      <alignment horizontal="center" vertical="center"/>
    </xf>
    <xf numFmtId="0" fontId="59" fillId="0" borderId="64" xfId="119" applyFont="1" applyBorder="1" applyAlignment="1">
      <alignment horizontal="left" vertical="center"/>
      <protection/>
    </xf>
    <xf numFmtId="164" fontId="59" fillId="0" borderId="66" xfId="158" applyNumberFormat="1" applyFont="1" applyFill="1" applyBorder="1" applyAlignment="1" applyProtection="1">
      <alignment vertical="center"/>
      <protection/>
    </xf>
    <xf numFmtId="164" fontId="5" fillId="0" borderId="65" xfId="157" applyNumberFormat="1" applyFont="1" applyBorder="1" applyAlignment="1">
      <alignment horizontal="center" vertical="center"/>
    </xf>
    <xf numFmtId="164" fontId="5" fillId="4" borderId="61" xfId="157" applyNumberFormat="1" applyFont="1" applyFill="1" applyBorder="1" applyAlignment="1" applyProtection="1">
      <alignment horizontal="center" vertical="center"/>
      <protection/>
    </xf>
    <xf numFmtId="176" fontId="0" fillId="0" borderId="57" xfId="157" applyNumberFormat="1" applyFont="1" applyFill="1" applyBorder="1" applyAlignment="1" applyProtection="1">
      <alignment horizontal="left" vertical="center" wrapText="1" indent="1"/>
      <protection/>
    </xf>
    <xf numFmtId="1" fontId="5" fillId="7" borderId="23" xfId="0" applyNumberFormat="1" applyFont="1" applyFill="1" applyBorder="1" applyAlignment="1">
      <alignment horizontal="center"/>
    </xf>
    <xf numFmtId="3" fontId="5" fillId="7" borderId="23" xfId="0" applyNumberFormat="1" applyFont="1" applyFill="1" applyBorder="1" applyAlignment="1">
      <alignment horizontal="center"/>
    </xf>
    <xf numFmtId="2" fontId="5" fillId="7" borderId="23" xfId="0" applyNumberFormat="1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3" fontId="5" fillId="7" borderId="25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3" fontId="5" fillId="7" borderId="20" xfId="0" applyNumberFormat="1" applyFont="1" applyFill="1" applyBorder="1" applyAlignment="1">
      <alignment horizontal="center"/>
    </xf>
    <xf numFmtId="3" fontId="5" fillId="7" borderId="21" xfId="0" applyNumberFormat="1" applyFont="1" applyFill="1" applyBorder="1" applyAlignment="1">
      <alignment horizontal="center"/>
    </xf>
    <xf numFmtId="2" fontId="5" fillId="7" borderId="21" xfId="0" applyNumberFormat="1" applyFont="1" applyFill="1" applyBorder="1" applyAlignment="1">
      <alignment horizontal="center"/>
    </xf>
    <xf numFmtId="1" fontId="5" fillId="7" borderId="21" xfId="0" applyNumberFormat="1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3" fontId="5" fillId="7" borderId="26" xfId="0" applyNumberFormat="1" applyFont="1" applyFill="1" applyBorder="1" applyAlignment="1">
      <alignment horizontal="center" vertical="center"/>
    </xf>
    <xf numFmtId="4" fontId="5" fillId="7" borderId="26" xfId="0" applyNumberFormat="1" applyFont="1" applyFill="1" applyBorder="1" applyAlignment="1">
      <alignment horizontal="center" vertical="center"/>
    </xf>
    <xf numFmtId="164" fontId="5" fillId="0" borderId="26" xfId="157" applyNumberFormat="1" applyFont="1" applyBorder="1" applyAlignment="1">
      <alignment horizontal="right" vertical="center"/>
    </xf>
    <xf numFmtId="164" fontId="60" fillId="0" borderId="45" xfId="158" applyNumberFormat="1" applyFont="1" applyFill="1" applyBorder="1" applyAlignment="1" applyProtection="1">
      <alignment vertical="center"/>
      <protection/>
    </xf>
    <xf numFmtId="164" fontId="60" fillId="0" borderId="69" xfId="158" applyNumberFormat="1" applyFont="1" applyFill="1" applyBorder="1" applyAlignment="1" applyProtection="1">
      <alignment vertical="center"/>
      <protection/>
    </xf>
    <xf numFmtId="164" fontId="0" fillId="0" borderId="0" xfId="157" applyNumberFormat="1" applyFont="1" applyBorder="1" applyAlignment="1">
      <alignment horizontal="right" vertical="center"/>
    </xf>
    <xf numFmtId="177" fontId="5" fillId="0" borderId="23" xfId="157" applyNumberFormat="1" applyFont="1" applyFill="1" applyBorder="1" applyAlignment="1" applyProtection="1">
      <alignment horizontal="center" vertical="center"/>
      <protection/>
    </xf>
    <xf numFmtId="164" fontId="0" fillId="0" borderId="43" xfId="157" applyNumberFormat="1" applyFont="1" applyFill="1" applyBorder="1" applyAlignment="1" applyProtection="1">
      <alignment vertical="center"/>
      <protection/>
    </xf>
    <xf numFmtId="164" fontId="60" fillId="0" borderId="42" xfId="158" applyNumberFormat="1" applyFont="1" applyFill="1" applyBorder="1" applyAlignment="1" applyProtection="1">
      <alignment vertical="center"/>
      <protection/>
    </xf>
    <xf numFmtId="164" fontId="5" fillId="0" borderId="23" xfId="157" applyNumberFormat="1" applyFont="1" applyFill="1" applyBorder="1" applyAlignment="1" applyProtection="1">
      <alignment horizontal="center" vertical="center"/>
      <protection/>
    </xf>
    <xf numFmtId="164" fontId="60" fillId="0" borderId="61" xfId="158" applyNumberFormat="1" applyFont="1" applyFill="1" applyBorder="1" applyAlignment="1" applyProtection="1">
      <alignment vertical="center"/>
      <protection/>
    </xf>
    <xf numFmtId="4" fontId="0" fillId="0" borderId="61" xfId="157" applyNumberFormat="1" applyFont="1" applyBorder="1" applyAlignment="1">
      <alignment horizontal="center" vertical="center"/>
    </xf>
    <xf numFmtId="164" fontId="59" fillId="0" borderId="65" xfId="158" applyNumberFormat="1" applyFont="1" applyFill="1" applyBorder="1" applyAlignment="1" applyProtection="1">
      <alignment vertical="center"/>
      <protection/>
    </xf>
    <xf numFmtId="164" fontId="5" fillId="4" borderId="62" xfId="157" applyNumberFormat="1" applyFont="1" applyFill="1" applyBorder="1" applyAlignment="1" applyProtection="1">
      <alignment horizontal="center" vertical="center"/>
      <protection/>
    </xf>
    <xf numFmtId="4" fontId="5" fillId="4" borderId="61" xfId="157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168" fontId="0" fillId="24" borderId="26" xfId="157" applyNumberFormat="1" applyFont="1" applyFill="1" applyBorder="1" applyAlignment="1">
      <alignment/>
    </xf>
    <xf numFmtId="0" fontId="3" fillId="4" borderId="36" xfId="0" applyFont="1" applyFill="1" applyBorder="1" applyAlignment="1">
      <alignment horizontal="center" vertical="center"/>
    </xf>
    <xf numFmtId="168" fontId="4" fillId="0" borderId="0" xfId="128" applyNumberFormat="1" applyFont="1" applyFill="1" applyAlignment="1">
      <alignment horizontal="right" vertical="center"/>
      <protection/>
    </xf>
    <xf numFmtId="166" fontId="5" fillId="29" borderId="23" xfId="157" applyNumberFormat="1" applyFont="1" applyFill="1" applyBorder="1" applyAlignment="1" quotePrefix="1">
      <alignment horizontal="center" vertical="center"/>
    </xf>
    <xf numFmtId="4" fontId="5" fillId="29" borderId="26" xfId="0" applyNumberFormat="1" applyFont="1" applyFill="1" applyBorder="1" applyAlignment="1">
      <alignment horizontal="center" vertical="center"/>
    </xf>
    <xf numFmtId="0" fontId="13" fillId="0" borderId="11" xfId="123" applyFont="1" applyFill="1" applyBorder="1" applyAlignment="1">
      <alignment horizontal="center" vertical="center"/>
      <protection/>
    </xf>
    <xf numFmtId="0" fontId="13" fillId="0" borderId="11" xfId="123" applyFont="1" applyFill="1" applyBorder="1" applyAlignment="1">
      <alignment horizontal="left" vertical="center"/>
      <protection/>
    </xf>
    <xf numFmtId="0" fontId="13" fillId="0" borderId="0" xfId="123" applyFont="1" applyFill="1" applyBorder="1" applyAlignment="1">
      <alignment horizontal="left" vertical="center"/>
      <protection/>
    </xf>
    <xf numFmtId="0" fontId="13" fillId="0" borderId="10" xfId="123" applyFont="1" applyFill="1" applyBorder="1" applyAlignment="1">
      <alignment horizontal="left" vertical="center"/>
      <protection/>
    </xf>
    <xf numFmtId="164" fontId="0" fillId="0" borderId="70" xfId="157" applyNumberFormat="1" applyFont="1" applyBorder="1" applyAlignment="1">
      <alignment horizontal="center" vertical="center"/>
    </xf>
    <xf numFmtId="167" fontId="29" fillId="25" borderId="21" xfId="0" applyNumberFormat="1" applyFont="1" applyFill="1" applyBorder="1" applyAlignment="1">
      <alignment horizontal="center" vertical="center"/>
    </xf>
    <xf numFmtId="167" fontId="29" fillId="25" borderId="34" xfId="0" applyNumberFormat="1" applyFont="1" applyFill="1" applyBorder="1" applyAlignment="1">
      <alignment horizontal="center" vertical="center"/>
    </xf>
    <xf numFmtId="167" fontId="29" fillId="25" borderId="38" xfId="0" applyNumberFormat="1" applyFont="1" applyFill="1" applyBorder="1" applyAlignment="1">
      <alignment horizontal="center" vertical="center"/>
    </xf>
    <xf numFmtId="168" fontId="0" fillId="0" borderId="0" xfId="157" applyNumberFormat="1" applyFont="1" applyAlignment="1">
      <alignment/>
    </xf>
    <xf numFmtId="168" fontId="0" fillId="0" borderId="0" xfId="157" applyNumberFormat="1" applyFont="1" applyBorder="1" applyAlignment="1">
      <alignment horizontal="right"/>
    </xf>
    <xf numFmtId="168" fontId="0" fillId="0" borderId="0" xfId="157" applyNumberFormat="1" applyFont="1" applyBorder="1" applyAlignment="1">
      <alignment horizontal="center"/>
    </xf>
    <xf numFmtId="168" fontId="0" fillId="0" borderId="0" xfId="157" applyNumberFormat="1" applyFont="1" applyAlignment="1">
      <alignment horizontal="right"/>
    </xf>
    <xf numFmtId="168" fontId="12" fillId="0" borderId="0" xfId="157" applyNumberFormat="1" applyFont="1" applyAlignment="1">
      <alignment/>
    </xf>
    <xf numFmtId="168" fontId="0" fillId="0" borderId="39" xfId="157" applyNumberFormat="1" applyFont="1" applyBorder="1" applyAlignment="1">
      <alignment horizontal="right"/>
    </xf>
    <xf numFmtId="168" fontId="0" fillId="0" borderId="0" xfId="157" applyNumberFormat="1" applyFont="1" applyAlignment="1">
      <alignment/>
    </xf>
    <xf numFmtId="168" fontId="0" fillId="0" borderId="0" xfId="157" applyNumberFormat="1" applyFont="1" applyAlignment="1">
      <alignment horizontal="center"/>
    </xf>
    <xf numFmtId="168" fontId="0" fillId="23" borderId="26" xfId="157" applyNumberFormat="1" applyFont="1" applyFill="1" applyBorder="1" applyAlignment="1">
      <alignment horizontal="right"/>
    </xf>
    <xf numFmtId="168" fontId="0" fillId="23" borderId="27" xfId="157" applyNumberFormat="1" applyFont="1" applyFill="1" applyBorder="1" applyAlignment="1">
      <alignment horizontal="right"/>
    </xf>
    <xf numFmtId="168" fontId="0" fillId="23" borderId="27" xfId="157" applyNumberFormat="1" applyFont="1" applyFill="1" applyBorder="1" applyAlignment="1">
      <alignment horizontal="center"/>
    </xf>
    <xf numFmtId="168" fontId="0" fillId="0" borderId="39" xfId="157" applyNumberFormat="1" applyFont="1" applyBorder="1" applyAlignment="1">
      <alignment horizontal="center"/>
    </xf>
    <xf numFmtId="168" fontId="0" fillId="23" borderId="40" xfId="157" applyNumberFormat="1" applyFont="1" applyFill="1" applyBorder="1" applyAlignment="1">
      <alignment horizontal="right"/>
    </xf>
    <xf numFmtId="168" fontId="0" fillId="23" borderId="35" xfId="157" applyNumberFormat="1" applyFont="1" applyFill="1" applyBorder="1" applyAlignment="1">
      <alignment horizontal="center"/>
    </xf>
    <xf numFmtId="168" fontId="0" fillId="0" borderId="0" xfId="157" applyNumberFormat="1" applyFont="1" applyBorder="1" applyAlignment="1">
      <alignment/>
    </xf>
    <xf numFmtId="168" fontId="0" fillId="23" borderId="38" xfId="157" applyNumberFormat="1" applyFont="1" applyFill="1" applyBorder="1" applyAlignment="1">
      <alignment horizontal="right"/>
    </xf>
    <xf numFmtId="168" fontId="0" fillId="23" borderId="39" xfId="157" applyNumberFormat="1" applyFont="1" applyFill="1" applyBorder="1" applyAlignment="1">
      <alignment horizontal="right"/>
    </xf>
    <xf numFmtId="168" fontId="0" fillId="23" borderId="20" xfId="157" applyNumberFormat="1" applyFont="1" applyFill="1" applyBorder="1" applyAlignment="1">
      <alignment horizontal="center"/>
    </xf>
    <xf numFmtId="168" fontId="0" fillId="23" borderId="25" xfId="157" applyNumberFormat="1" applyFont="1" applyFill="1" applyBorder="1" applyAlignment="1">
      <alignment horizontal="center"/>
    </xf>
    <xf numFmtId="168" fontId="0" fillId="0" borderId="39" xfId="157" applyNumberFormat="1" applyFont="1" applyBorder="1" applyAlignment="1">
      <alignment/>
    </xf>
    <xf numFmtId="168" fontId="0" fillId="23" borderId="25" xfId="157" applyNumberFormat="1" applyFont="1" applyFill="1" applyBorder="1" applyAlignment="1">
      <alignment horizontal="right"/>
    </xf>
    <xf numFmtId="168" fontId="0" fillId="23" borderId="39" xfId="157" applyNumberFormat="1" applyFont="1" applyFill="1" applyBorder="1" applyAlignment="1">
      <alignment horizontal="center"/>
    </xf>
    <xf numFmtId="0" fontId="0" fillId="23" borderId="38" xfId="0" applyFont="1" applyFill="1" applyBorder="1" applyAlignment="1">
      <alignment horizontal="center"/>
    </xf>
    <xf numFmtId="0" fontId="0" fillId="23" borderId="39" xfId="0" applyFont="1" applyFill="1" applyBorder="1" applyAlignment="1">
      <alignment horizontal="center"/>
    </xf>
    <xf numFmtId="0" fontId="0" fillId="23" borderId="20" xfId="0" applyFont="1" applyFill="1" applyBorder="1" applyAlignment="1">
      <alignment horizontal="center"/>
    </xf>
    <xf numFmtId="2" fontId="29" fillId="25" borderId="26" xfId="0" applyNumberFormat="1" applyFont="1" applyFill="1" applyBorder="1" applyAlignment="1">
      <alignment horizontal="center" vertical="center"/>
    </xf>
    <xf numFmtId="2" fontId="29" fillId="25" borderId="23" xfId="0" applyNumberFormat="1" applyFont="1" applyFill="1" applyBorder="1" applyAlignment="1">
      <alignment horizontal="center" vertical="center"/>
    </xf>
    <xf numFmtId="167" fontId="29" fillId="25" borderId="26" xfId="0" applyNumberFormat="1" applyFont="1" applyFill="1" applyBorder="1" applyAlignment="1">
      <alignment horizontal="center" vertical="center"/>
    </xf>
    <xf numFmtId="167" fontId="29" fillId="0" borderId="36" xfId="0" applyNumberFormat="1" applyFont="1" applyFill="1" applyBorder="1" applyAlignment="1">
      <alignment horizontal="center" vertical="center"/>
    </xf>
    <xf numFmtId="167" fontId="29" fillId="0" borderId="69" xfId="0" applyNumberFormat="1" applyFont="1" applyFill="1" applyBorder="1" applyAlignment="1">
      <alignment horizontal="center" vertical="center"/>
    </xf>
    <xf numFmtId="167" fontId="29" fillId="0" borderId="34" xfId="0" applyNumberFormat="1" applyFont="1" applyBorder="1" applyAlignment="1">
      <alignment horizontal="center" vertical="center"/>
    </xf>
    <xf numFmtId="167" fontId="29" fillId="0" borderId="33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25" borderId="38" xfId="0" applyFont="1" applyFill="1" applyBorder="1" applyAlignment="1">
      <alignment horizontal="center" vertical="center"/>
    </xf>
    <xf numFmtId="0" fontId="29" fillId="25" borderId="21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right" vertical="center"/>
    </xf>
    <xf numFmtId="167" fontId="29" fillId="0" borderId="36" xfId="0" applyNumberFormat="1" applyFont="1" applyBorder="1" applyAlignment="1">
      <alignment horizontal="center" vertical="center"/>
    </xf>
    <xf numFmtId="167" fontId="29" fillId="0" borderId="69" xfId="0" applyNumberFormat="1" applyFont="1" applyBorder="1" applyAlignment="1">
      <alignment horizontal="center" vertical="center"/>
    </xf>
    <xf numFmtId="167" fontId="29" fillId="0" borderId="26" xfId="0" applyNumberFormat="1" applyFont="1" applyBorder="1" applyAlignment="1">
      <alignment horizontal="center" vertical="center"/>
    </xf>
    <xf numFmtId="167" fontId="29" fillId="0" borderId="23" xfId="0" applyNumberFormat="1" applyFont="1" applyBorder="1" applyAlignment="1">
      <alignment horizontal="center" vertical="center"/>
    </xf>
    <xf numFmtId="2" fontId="29" fillId="0" borderId="34" xfId="0" applyNumberFormat="1" applyFont="1" applyBorder="1" applyAlignment="1">
      <alignment horizontal="center" vertical="center"/>
    </xf>
    <xf numFmtId="2" fontId="29" fillId="0" borderId="33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67" fontId="29" fillId="25" borderId="36" xfId="0" applyNumberFormat="1" applyFont="1" applyFill="1" applyBorder="1" applyAlignment="1">
      <alignment horizontal="center" vertical="center"/>
    </xf>
    <xf numFmtId="167" fontId="29" fillId="25" borderId="69" xfId="0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3" fontId="29" fillId="25" borderId="23" xfId="0" applyNumberFormat="1" applyFont="1" applyFill="1" applyBorder="1" applyAlignment="1">
      <alignment horizontal="center" vertical="center"/>
    </xf>
    <xf numFmtId="3" fontId="29" fillId="25" borderId="26" xfId="0" applyNumberFormat="1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2" fontId="29" fillId="0" borderId="36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10" fillId="0" borderId="11" xfId="112" applyFont="1" applyBorder="1" applyAlignment="1">
      <alignment horizontal="center"/>
    </xf>
    <xf numFmtId="165" fontId="10" fillId="0" borderId="0" xfId="112" applyFont="1" applyBorder="1" applyAlignment="1">
      <alignment horizontal="center"/>
    </xf>
    <xf numFmtId="165" fontId="10" fillId="0" borderId="10" xfId="112" applyFont="1" applyBorder="1" applyAlignment="1">
      <alignment horizont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13" fillId="0" borderId="11" xfId="123" applyFont="1" applyFill="1" applyBorder="1" applyAlignment="1">
      <alignment horizontal="center" vertical="center"/>
      <protection/>
    </xf>
    <xf numFmtId="0" fontId="13" fillId="0" borderId="0" xfId="123" applyFont="1" applyFill="1" applyBorder="1" applyAlignment="1">
      <alignment horizontal="center" vertical="center"/>
      <protection/>
    </xf>
    <xf numFmtId="0" fontId="13" fillId="0" borderId="10" xfId="123" applyFont="1" applyFill="1" applyBorder="1" applyAlignment="1">
      <alignment horizontal="center" vertical="center"/>
      <protection/>
    </xf>
    <xf numFmtId="0" fontId="24" fillId="4" borderId="0" xfId="123" applyFont="1" applyFill="1" applyBorder="1" applyAlignment="1">
      <alignment horizontal="center" vertical="center"/>
      <protection/>
    </xf>
    <xf numFmtId="0" fontId="29" fillId="0" borderId="0" xfId="123" applyFont="1" applyFill="1" applyBorder="1" applyAlignment="1">
      <alignment horizontal="center" vertical="center"/>
      <protection/>
    </xf>
    <xf numFmtId="0" fontId="33" fillId="27" borderId="0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vertical="center"/>
    </xf>
    <xf numFmtId="14" fontId="9" fillId="0" borderId="22" xfId="0" applyNumberFormat="1" applyFont="1" applyFill="1" applyBorder="1" applyAlignment="1">
      <alignment vertical="center"/>
    </xf>
    <xf numFmtId="14" fontId="9" fillId="4" borderId="30" xfId="0" applyNumberFormat="1" applyFont="1" applyFill="1" applyBorder="1" applyAlignment="1">
      <alignment horizontal="center" vertical="center"/>
    </xf>
    <xf numFmtId="14" fontId="9" fillId="4" borderId="31" xfId="0" applyNumberFormat="1" applyFont="1" applyFill="1" applyBorder="1" applyAlignment="1">
      <alignment horizontal="center" vertical="center"/>
    </xf>
    <xf numFmtId="14" fontId="9" fillId="4" borderId="23" xfId="0" applyNumberFormat="1" applyFont="1" applyFill="1" applyBorder="1" applyAlignment="1">
      <alignment horizontal="center" vertical="center"/>
    </xf>
    <xf numFmtId="14" fontId="9" fillId="4" borderId="24" xfId="0" applyNumberFormat="1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vertical="center"/>
    </xf>
    <xf numFmtId="14" fontId="9" fillId="0" borderId="24" xfId="0" applyNumberFormat="1" applyFont="1" applyFill="1" applyBorder="1" applyAlignment="1">
      <alignment vertical="center"/>
    </xf>
    <xf numFmtId="0" fontId="5" fillId="22" borderId="65" xfId="0" applyFont="1" applyFill="1" applyBorder="1" applyAlignment="1">
      <alignment horizontal="center" vertical="center"/>
    </xf>
    <xf numFmtId="0" fontId="5" fillId="22" borderId="64" xfId="0" applyFont="1" applyFill="1" applyBorder="1" applyAlignment="1">
      <alignment horizontal="center" vertical="center"/>
    </xf>
    <xf numFmtId="0" fontId="5" fillId="22" borderId="79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167" fontId="29" fillId="25" borderId="33" xfId="0" applyNumberFormat="1" applyFont="1" applyFill="1" applyBorder="1" applyAlignment="1">
      <alignment horizontal="center" vertical="center"/>
    </xf>
    <xf numFmtId="167" fontId="29" fillId="25" borderId="21" xfId="0" applyNumberFormat="1" applyFont="1" applyFill="1" applyBorder="1" applyAlignment="1">
      <alignment horizontal="center" vertical="center"/>
    </xf>
    <xf numFmtId="0" fontId="29" fillId="25" borderId="33" xfId="0" applyFont="1" applyFill="1" applyBorder="1" applyAlignment="1">
      <alignment horizontal="center" vertical="center"/>
    </xf>
    <xf numFmtId="0" fontId="29" fillId="25" borderId="62" xfId="0" applyFont="1" applyFill="1" applyBorder="1" applyAlignment="1">
      <alignment horizontal="center" vertical="center"/>
    </xf>
    <xf numFmtId="167" fontId="29" fillId="25" borderId="34" xfId="0" applyNumberFormat="1" applyFont="1" applyFill="1" applyBorder="1" applyAlignment="1">
      <alignment horizontal="center" vertical="center"/>
    </xf>
    <xf numFmtId="167" fontId="29" fillId="25" borderId="38" xfId="0" applyNumberFormat="1" applyFont="1" applyFill="1" applyBorder="1" applyAlignment="1">
      <alignment horizontal="center" vertical="center"/>
    </xf>
    <xf numFmtId="2" fontId="29" fillId="25" borderId="34" xfId="0" applyNumberFormat="1" applyFont="1" applyFill="1" applyBorder="1" applyAlignment="1">
      <alignment horizontal="center" vertical="center"/>
    </xf>
    <xf numFmtId="2" fontId="29" fillId="25" borderId="61" xfId="0" applyNumberFormat="1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 vertical="center"/>
    </xf>
    <xf numFmtId="0" fontId="29" fillId="25" borderId="34" xfId="0" applyFont="1" applyFill="1" applyBorder="1" applyAlignment="1">
      <alignment horizontal="center" vertical="center"/>
    </xf>
    <xf numFmtId="0" fontId="29" fillId="25" borderId="61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" fontId="29" fillId="25" borderId="34" xfId="0" applyNumberFormat="1" applyFont="1" applyFill="1" applyBorder="1" applyAlignment="1">
      <alignment horizontal="center" vertical="center"/>
    </xf>
    <xf numFmtId="1" fontId="29" fillId="25" borderId="38" xfId="0" applyNumberFormat="1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5" fillId="7" borderId="35" xfId="125" applyFont="1" applyFill="1" applyBorder="1" applyAlignment="1">
      <alignment horizontal="center" vertical="center"/>
      <protection/>
    </xf>
    <xf numFmtId="0" fontId="5" fillId="7" borderId="20" xfId="125" applyFont="1" applyFill="1" applyBorder="1" applyAlignment="1">
      <alignment horizontal="center" vertical="center"/>
      <protection/>
    </xf>
    <xf numFmtId="2" fontId="5" fillId="0" borderId="0" xfId="12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125" applyFont="1" applyAlignment="1">
      <alignment horizontal="center"/>
      <protection/>
    </xf>
    <xf numFmtId="0" fontId="5" fillId="7" borderId="26" xfId="125" applyFont="1" applyFill="1" applyBorder="1" applyAlignment="1">
      <alignment horizontal="center" vertical="center"/>
      <protection/>
    </xf>
    <xf numFmtId="0" fontId="5" fillId="7" borderId="27" xfId="125" applyFont="1" applyFill="1" applyBorder="1" applyAlignment="1">
      <alignment horizontal="center" vertical="center"/>
      <protection/>
    </xf>
    <xf numFmtId="0" fontId="5" fillId="7" borderId="25" xfId="125" applyFont="1" applyFill="1" applyBorder="1" applyAlignment="1">
      <alignment horizontal="center" vertical="center"/>
      <protection/>
    </xf>
    <xf numFmtId="0" fontId="5" fillId="7" borderId="34" xfId="125" applyFont="1" applyFill="1" applyBorder="1" applyAlignment="1">
      <alignment horizontal="center" vertical="center" wrapText="1"/>
      <protection/>
    </xf>
    <xf numFmtId="0" fontId="5" fillId="7" borderId="38" xfId="12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3" fillId="20" borderId="38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2" fontId="3" fillId="20" borderId="39" xfId="0" applyNumberFormat="1" applyFont="1" applyFill="1" applyBorder="1" applyAlignment="1">
      <alignment horizontal="center"/>
    </xf>
    <xf numFmtId="2" fontId="3" fillId="20" borderId="0" xfId="0" applyNumberFormat="1" applyFont="1" applyFill="1" applyBorder="1" applyAlignment="1">
      <alignment horizontal="center"/>
    </xf>
    <xf numFmtId="2" fontId="3" fillId="20" borderId="36" xfId="0" applyNumberFormat="1" applyFont="1" applyFill="1" applyBorder="1" applyAlignment="1">
      <alignment horizontal="center"/>
    </xf>
    <xf numFmtId="2" fontId="3" fillId="20" borderId="37" xfId="0" applyNumberFormat="1" applyFont="1" applyFill="1" applyBorder="1" applyAlignment="1">
      <alignment horizontal="center"/>
    </xf>
    <xf numFmtId="0" fontId="56" fillId="0" borderId="0" xfId="107" applyFont="1" applyBorder="1" applyAlignment="1" applyProtection="1">
      <alignment horizontal="left" vertical="center"/>
      <protection/>
    </xf>
    <xf numFmtId="49" fontId="3" fillId="7" borderId="34" xfId="127" applyNumberFormat="1" applyFont="1" applyFill="1" applyBorder="1" applyAlignment="1">
      <alignment horizontal="center" vertical="center" wrapText="1"/>
      <protection/>
    </xf>
    <xf numFmtId="49" fontId="3" fillId="7" borderId="38" xfId="127" applyNumberFormat="1" applyFont="1" applyFill="1" applyBorder="1" applyAlignment="1">
      <alignment horizontal="center" vertical="center" wrapText="1"/>
      <protection/>
    </xf>
    <xf numFmtId="49" fontId="3" fillId="7" borderId="26" xfId="127" applyNumberFormat="1" applyFont="1" applyFill="1" applyBorder="1" applyAlignment="1">
      <alignment horizontal="center" vertical="center" wrapText="1"/>
      <protection/>
    </xf>
    <xf numFmtId="49" fontId="3" fillId="7" borderId="27" xfId="127" applyNumberFormat="1" applyFont="1" applyFill="1" applyBorder="1" applyAlignment="1">
      <alignment horizontal="center" vertical="center" wrapText="1"/>
      <protection/>
    </xf>
    <xf numFmtId="49" fontId="3" fillId="7" borderId="40" xfId="127" applyNumberFormat="1" applyFont="1" applyFill="1" applyBorder="1" applyAlignment="1">
      <alignment horizontal="center" vertical="center" wrapText="1"/>
      <protection/>
    </xf>
    <xf numFmtId="49" fontId="3" fillId="7" borderId="35" xfId="127" applyNumberFormat="1" applyFont="1" applyFill="1" applyBorder="1" applyAlignment="1">
      <alignment horizontal="center" vertical="center" wrapText="1"/>
      <protection/>
    </xf>
    <xf numFmtId="49" fontId="3" fillId="7" borderId="39" xfId="127" applyNumberFormat="1" applyFont="1" applyFill="1" applyBorder="1" applyAlignment="1">
      <alignment horizontal="center" vertical="center" wrapText="1"/>
      <protection/>
    </xf>
    <xf numFmtId="49" fontId="3" fillId="7" borderId="20" xfId="127" applyNumberFormat="1" applyFont="1" applyFill="1" applyBorder="1" applyAlignment="1">
      <alignment horizontal="center" vertical="center" wrapText="1"/>
      <protection/>
    </xf>
    <xf numFmtId="3" fontId="13" fillId="0" borderId="0" xfId="0" applyNumberFormat="1" applyFont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0" fillId="7" borderId="37" xfId="0" applyFont="1" applyFill="1" applyBorder="1" applyAlignment="1">
      <alignment/>
    </xf>
    <xf numFmtId="49" fontId="5" fillId="7" borderId="23" xfId="0" applyNumberFormat="1" applyFont="1" applyFill="1" applyBorder="1" applyAlignment="1">
      <alignment horizontal="center" vertical="center"/>
    </xf>
    <xf numFmtId="0" fontId="5" fillId="7" borderId="23" xfId="0" applyNumberFormat="1" applyFont="1" applyFill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center" vertical="center"/>
    </xf>
    <xf numFmtId="0" fontId="5" fillId="7" borderId="2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20" borderId="34" xfId="0" applyFont="1" applyFill="1" applyBorder="1" applyAlignment="1">
      <alignment horizontal="center"/>
    </xf>
    <xf numFmtId="0" fontId="17" fillId="20" borderId="40" xfId="0" applyFont="1" applyFill="1" applyBorder="1" applyAlignment="1">
      <alignment horizontal="center"/>
    </xf>
    <xf numFmtId="0" fontId="17" fillId="20" borderId="35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7" borderId="37" xfId="0" applyFont="1" applyFill="1" applyBorder="1" applyAlignment="1">
      <alignment horizontal="center"/>
    </xf>
    <xf numFmtId="17" fontId="5" fillId="7" borderId="25" xfId="0" applyNumberFormat="1" applyFont="1" applyFill="1" applyBorder="1" applyAlignment="1">
      <alignment horizontal="center"/>
    </xf>
    <xf numFmtId="0" fontId="5" fillId="7" borderId="23" xfId="0" applyNumberFormat="1" applyFont="1" applyFill="1" applyBorder="1" applyAlignment="1">
      <alignment horizontal="center"/>
    </xf>
    <xf numFmtId="1" fontId="5" fillId="7" borderId="23" xfId="0" applyNumberFormat="1" applyFont="1" applyFill="1" applyBorder="1" applyAlignment="1">
      <alignment horizontal="center"/>
    </xf>
    <xf numFmtId="1" fontId="5" fillId="7" borderId="26" xfId="0" applyNumberFormat="1" applyFont="1" applyFill="1" applyBorder="1" applyAlignment="1">
      <alignment horizontal="center"/>
    </xf>
    <xf numFmtId="17" fontId="5" fillId="7" borderId="26" xfId="0" applyNumberFormat="1" applyFont="1" applyFill="1" applyBorder="1" applyAlignment="1">
      <alignment horizontal="center"/>
    </xf>
    <xf numFmtId="0" fontId="5" fillId="7" borderId="27" xfId="0" applyNumberFormat="1" applyFont="1" applyFill="1" applyBorder="1" applyAlignment="1">
      <alignment horizontal="center"/>
    </xf>
    <xf numFmtId="0" fontId="5" fillId="7" borderId="2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7" borderId="37" xfId="0" applyFill="1" applyBorder="1" applyAlignment="1">
      <alignment/>
    </xf>
    <xf numFmtId="0" fontId="5" fillId="7" borderId="26" xfId="0" applyNumberFormat="1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5" fillId="0" borderId="39" xfId="0" applyNumberFormat="1" applyFont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77" fontId="5" fillId="4" borderId="33" xfId="0" applyNumberFormat="1" applyFont="1" applyFill="1" applyBorder="1" applyAlignment="1">
      <alignment horizontal="center" vertical="center"/>
    </xf>
    <xf numFmtId="177" fontId="5" fillId="4" borderId="21" xfId="0" applyNumberFormat="1" applyFont="1" applyFill="1" applyBorder="1" applyAlignment="1">
      <alignment horizontal="center" vertical="center"/>
    </xf>
    <xf numFmtId="17" fontId="3" fillId="0" borderId="39" xfId="0" applyNumberFormat="1" applyFont="1" applyBorder="1" applyAlignment="1">
      <alignment horizontal="right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/>
    </xf>
    <xf numFmtId="49" fontId="5" fillId="4" borderId="26" xfId="0" applyNumberFormat="1" applyFont="1" applyFill="1" applyBorder="1" applyAlignment="1">
      <alignment horizontal="center"/>
    </xf>
    <xf numFmtId="49" fontId="5" fillId="4" borderId="25" xfId="0" applyNumberFormat="1" applyFont="1" applyFill="1" applyBorder="1" applyAlignment="1">
      <alignment horizontal="center"/>
    </xf>
    <xf numFmtId="49" fontId="5" fillId="4" borderId="27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/>
    </xf>
    <xf numFmtId="0" fontId="58" fillId="20" borderId="25" xfId="0" applyFont="1" applyFill="1" applyBorder="1" applyAlignment="1">
      <alignment horizontal="center" vertical="center"/>
    </xf>
    <xf numFmtId="0" fontId="58" fillId="20" borderId="23" xfId="0" applyFont="1" applyFill="1" applyBorder="1" applyAlignment="1">
      <alignment horizontal="center" vertical="center"/>
    </xf>
    <xf numFmtId="0" fontId="58" fillId="20" borderId="26" xfId="0" applyFont="1" applyFill="1" applyBorder="1" applyAlignment="1">
      <alignment horizontal="center" vertical="center"/>
    </xf>
    <xf numFmtId="0" fontId="13" fillId="0" borderId="0" xfId="123" applyFont="1" applyAlignment="1">
      <alignment horizontal="center"/>
      <protection/>
    </xf>
    <xf numFmtId="0" fontId="5" fillId="0" borderId="0" xfId="123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8" fillId="2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élula de Verificação" xfId="81"/>
    <cellStyle name="Célula de Verificação 2" xfId="82"/>
    <cellStyle name="Célula Vinculada" xfId="83"/>
    <cellStyle name="Célula Vinculada 2" xfId="84"/>
    <cellStyle name="Check Cell" xfId="85"/>
    <cellStyle name="Ênfase1" xfId="86"/>
    <cellStyle name="Ênfase1 2" xfId="87"/>
    <cellStyle name="Ênfase2" xfId="88"/>
    <cellStyle name="Ênfase2 2" xfId="89"/>
    <cellStyle name="Ênfase3" xfId="90"/>
    <cellStyle name="Ênfase3 2" xfId="91"/>
    <cellStyle name="Ênfase4" xfId="92"/>
    <cellStyle name="Ênfase4 2" xfId="93"/>
    <cellStyle name="Ênfase5" xfId="94"/>
    <cellStyle name="Ênfase5 2" xfId="95"/>
    <cellStyle name="Ênfase6" xfId="96"/>
    <cellStyle name="Ênfase6 2" xfId="97"/>
    <cellStyle name="Entrada" xfId="98"/>
    <cellStyle name="Entrada 2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Hyperlink_Ranking do Agronegócio-Valores" xfId="107"/>
    <cellStyle name="Incorreto" xfId="108"/>
    <cellStyle name="Incorreto 2" xfId="109"/>
    <cellStyle name="Input" xfId="110"/>
    <cellStyle name="Linked Cell" xfId="111"/>
    <cellStyle name="Currency" xfId="112"/>
    <cellStyle name="Currency [0]" xfId="113"/>
    <cellStyle name="Neutra" xfId="114"/>
    <cellStyle name="Neutra 2" xfId="115"/>
    <cellStyle name="Neutral" xfId="116"/>
    <cellStyle name="Normal 2" xfId="117"/>
    <cellStyle name="Normal 2 2" xfId="118"/>
    <cellStyle name="Normal 2_Produção Brasiliera de Café-2015-2014-2013" xfId="119"/>
    <cellStyle name="Normal 2_Produção CONAB - 1999 a 2014" xfId="120"/>
    <cellStyle name="Normal 3" xfId="121"/>
    <cellStyle name="Normal_2001 09 SET" xfId="122"/>
    <cellStyle name="Normal_Balança Janeiro-02" xfId="123"/>
    <cellStyle name="Normal_Balança Janeiro-022" xfId="124"/>
    <cellStyle name="Normal_Estoques privados e público-CONAB-04-13" xfId="125"/>
    <cellStyle name="Normal_Informe Café - Julho-02" xfId="126"/>
    <cellStyle name="Normal_Plan1_1" xfId="127"/>
    <cellStyle name="Normal_Ranking do Agronegócio-Valores" xfId="128"/>
    <cellStyle name="Nota" xfId="129"/>
    <cellStyle name="Nota 2" xfId="130"/>
    <cellStyle name="Note" xfId="131"/>
    <cellStyle name="Output" xfId="132"/>
    <cellStyle name="Percent" xfId="133"/>
    <cellStyle name="Saída" xfId="134"/>
    <cellStyle name="Saída 2" xfId="135"/>
    <cellStyle name="Comma [0]" xfId="136"/>
    <cellStyle name="Separador de milhares 2" xfId="137"/>
    <cellStyle name="Separador de milhares 3" xfId="138"/>
    <cellStyle name="Separador de milhares_Estoques privados e público-CONAB-04-13" xfId="139"/>
    <cellStyle name="Texto de Aviso" xfId="140"/>
    <cellStyle name="Texto de Aviso 2" xfId="141"/>
    <cellStyle name="Texto Explicativo" xfId="142"/>
    <cellStyle name="Texto Explicativo 2" xfId="143"/>
    <cellStyle name="Title" xfId="144"/>
    <cellStyle name="Título" xfId="145"/>
    <cellStyle name="Título 1" xfId="146"/>
    <cellStyle name="Título 1 2" xfId="147"/>
    <cellStyle name="Título 2" xfId="148"/>
    <cellStyle name="Título 2 2" xfId="149"/>
    <cellStyle name="Título 3" xfId="150"/>
    <cellStyle name="Título 3 2" xfId="151"/>
    <cellStyle name="Título 4" xfId="152"/>
    <cellStyle name="Título 4 2" xfId="153"/>
    <cellStyle name="Título 5" xfId="154"/>
    <cellStyle name="Total" xfId="155"/>
    <cellStyle name="Total 2" xfId="156"/>
    <cellStyle name="Comma" xfId="157"/>
    <cellStyle name="Vírgula 2" xfId="158"/>
    <cellStyle name="Warning Text" xfId="159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2015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7575"/>
          <c:w val="0.75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08"/>
          <c:w val="0.1535"/>
          <c:h val="0.7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
</a:t>
            </a:r>
          </a:p>
        </c:rich>
      </c:tx>
      <c:layout>
        <c:manualLayout>
          <c:xMode val="factor"/>
          <c:yMode val="factor"/>
          <c:x val="-0.01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6275"/>
          <c:w val="0.828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('Exp.Verde'!$B$6:$B$13,'Exp.Verde'!$B$15:$B$18)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('Exp.Verde'!$E$6:$E$13,'Exp.Verde'!$E$15:$E$18)</c:f>
              <c:numCache/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206"/>
          <c:w val="0.13825"/>
          <c:h val="0.61775"/>
        </c:manualLayout>
      </c:layout>
      <c:overlay val="0"/>
      <c:spPr>
        <a:solidFill>
          <a:srgbClr val="FFFFFF"/>
        </a:solidFill>
        <a:ln w="25400">
          <a:solidFill>
            <a:srgbClr val="9966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3875"/>
          <c:w val="0.838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('Exp.Verde'!$C$6:$C$13,'Exp.Verde'!$C$15:$C$18)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('Exp.Verde'!$F$6:$F$13,'Exp.Verde'!$F$15:$F$18)</c:f>
              <c:numCache/>
            </c:numRef>
          </c:val>
        </c:ser>
        <c:axId val="3298424"/>
        <c:axId val="29685817"/>
      </c:barChart>
      <c:cat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18475"/>
          <c:w val="0.13225"/>
          <c:h val="0.5715"/>
        </c:manualLayout>
      </c:layout>
      <c:overlay val="0"/>
      <c:spPr>
        <a:solidFill>
          <a:srgbClr val="FFFFFF"/>
        </a:solidFill>
        <a:ln w="25400">
          <a:solidFill>
            <a:srgbClr val="99666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82"/>
          <c:w val="0.827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('Exp.Solúvel'!$B$6:$B$13,'Exp.Solúvel'!$B$15:$B$18)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('Exp.Solúvel'!$E$6:$E$13,'Exp.Solúvel'!$E$15:$E$18)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19"/>
          <c:w val="0.14475"/>
          <c:h val="0.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6875"/>
          <c:w val="0.818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('Exp.Solúvel'!$C$6:$C$13,'Exp.Solúvel'!$C$15:$C$18)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('Exp.Solúvel'!$F$6:$F$13,'Exp.Solúvel'!$F$15:$F$18)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1"/>
          <c:w val="0.149"/>
          <c:h val="0.5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82"/>
          <c:w val="0.8382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('Exp.Torrado'!$B$6:$B$13,'Exp.Torrado'!$B$15:$B$18)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('Exp.Torrado'!$E$6:$E$13,'Exp.Torrado'!$E$15:$E$18)</c:f>
              <c:numCache/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215"/>
          <c:w val="0.13925"/>
          <c:h val="0.5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6875"/>
          <c:w val="0.8272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('Exp.Torrado'!$C$6:$C$13,'Exp.Torrado'!$C$15:$C$18)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('Exp.Torrado'!$F$6:$F$13,'Exp.Torrado'!$F$15:$F$18)</c:f>
              <c:numCache/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18"/>
          <c:w val="0.149"/>
          <c:h val="0.5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Receita Cambial 2015/14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82"/>
          <c:w val="0.834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Ext.'!$B$6:$B$13,'Exp.Outs Ext.'!$B$15:$B$18)</c:f>
              <c:numCache/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Ext.'!$E$6:$E$13,'Exp.Outs Ext.'!$E$15:$E$18)</c:f>
              <c:numCache/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22725"/>
          <c:w val="0.134"/>
          <c:h val="0.5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2015/14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6875"/>
          <c:w val="0.8282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Ext.'!$C$6:$C$13,'Exp.Outs Ext.'!$C$15:$C$18)</c:f>
              <c:numCache/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Ext.'!$F$6:$F$13,'Exp.Outs Ext.'!$F$15:$F$18)</c:f>
              <c:numCache/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5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20575"/>
          <c:w val="0.13025"/>
          <c:h val="0.5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400050</xdr:colOff>
      <xdr:row>0</xdr:row>
      <xdr:rowOff>0</xdr:rowOff>
    </xdr:from>
    <xdr:to>
      <xdr:col>19</xdr:col>
      <xdr:colOff>409575</xdr:colOff>
      <xdr:row>3</xdr:row>
      <xdr:rowOff>247650</xdr:rowOff>
    </xdr:to>
    <xdr:pic>
      <xdr:nvPicPr>
        <xdr:cNvPr id="1" name="Picture 9" descr="LOGO CAF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5</xdr:col>
      <xdr:colOff>209550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4648200"/>
        <a:ext cx="36004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25</xdr:row>
      <xdr:rowOff>114300</xdr:rowOff>
    </xdr:from>
    <xdr:to>
      <xdr:col>10</xdr:col>
      <xdr:colOff>676275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3724275" y="4648200"/>
        <a:ext cx="3829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104775</xdr:rowOff>
    </xdr:from>
    <xdr:to>
      <xdr:col>5</xdr:col>
      <xdr:colOff>238125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47625" y="4638675"/>
        <a:ext cx="35718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25</xdr:row>
      <xdr:rowOff>104775</xdr:rowOff>
    </xdr:from>
    <xdr:to>
      <xdr:col>10</xdr:col>
      <xdr:colOff>590550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86175" y="4638675"/>
        <a:ext cx="36671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104775</xdr:rowOff>
    </xdr:from>
    <xdr:to>
      <xdr:col>5</xdr:col>
      <xdr:colOff>238125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47625" y="4638675"/>
        <a:ext cx="35718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25</xdr:row>
      <xdr:rowOff>104775</xdr:rowOff>
    </xdr:from>
    <xdr:to>
      <xdr:col>10</xdr:col>
      <xdr:colOff>590550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86175" y="4638675"/>
        <a:ext cx="36671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104775</xdr:rowOff>
    </xdr:from>
    <xdr:to>
      <xdr:col>5</xdr:col>
      <xdr:colOff>238125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47625" y="4638675"/>
        <a:ext cx="35718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25</xdr:row>
      <xdr:rowOff>104775</xdr:rowOff>
    </xdr:from>
    <xdr:to>
      <xdr:col>10</xdr:col>
      <xdr:colOff>590550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86175" y="4638675"/>
        <a:ext cx="36671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SIPLAN\2010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Distribui&#231;&#227;o%20Recursos%20UF-Consolidado-dez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CAF-2010\Distribui&#231;&#227;o%20Recursos%20UF-Consolidado-setembro-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CAF-2010\Distribui&#231;&#227;o%20Recursos%20UF-Consolidado-setembro-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CAF-2010\Distribui&#231;&#227;o%20Recursos%20UF-Consolidado-setembro-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CAF-2010\Distribui&#231;&#227;o%20Recursos%20UF-Consolidado-setembro-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istribui&#231;&#227;o%20Recursos%20UF-Consolidado-setembro-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SIPLAN\2010\Distribui&#231;&#227;o%20Recursos%20UF-Consolidado-setembro-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Tabelas%20Relat&#243;rios%20Funcaf&#233;\2011\Distribui&#231;&#227;o%20Recursos%20UF-Consolidado-setembro-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istribui&#231;&#227;o%20Recursos%20UF-Consolidado-set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ht="19.5" customHeight="1">
      <c r="A2" s="543" t="s">
        <v>76</v>
      </c>
      <c r="B2" s="544"/>
      <c r="C2" s="544"/>
      <c r="D2" s="544"/>
      <c r="E2" s="544"/>
      <c r="F2" s="544"/>
      <c r="G2" s="544"/>
      <c r="H2" s="544"/>
      <c r="I2" s="544"/>
      <c r="J2" s="545"/>
    </row>
    <row r="3" spans="1:10" ht="19.5" customHeight="1">
      <c r="A3" s="552" t="s">
        <v>342</v>
      </c>
      <c r="B3" s="553"/>
      <c r="C3" s="553"/>
      <c r="D3" s="553"/>
      <c r="E3" s="553"/>
      <c r="F3" s="553"/>
      <c r="G3" s="553"/>
      <c r="H3" s="553"/>
      <c r="I3" s="553"/>
      <c r="J3" s="554"/>
    </row>
    <row r="4" spans="1:10" ht="20.25" customHeight="1">
      <c r="A4" s="552" t="s">
        <v>348</v>
      </c>
      <c r="B4" s="553"/>
      <c r="C4" s="553"/>
      <c r="D4" s="553"/>
      <c r="E4" s="553"/>
      <c r="F4" s="553"/>
      <c r="G4" s="553"/>
      <c r="H4" s="553"/>
      <c r="I4" s="553"/>
      <c r="J4" s="554"/>
    </row>
    <row r="5" spans="1:10" ht="15" customHeight="1">
      <c r="A5" s="14"/>
      <c r="B5" s="1"/>
      <c r="C5" s="1"/>
      <c r="D5" s="1"/>
      <c r="E5" s="1"/>
      <c r="F5" s="1"/>
      <c r="G5" s="1"/>
      <c r="H5" s="1"/>
      <c r="I5" s="1"/>
      <c r="J5" s="13"/>
    </row>
    <row r="6" spans="1:10" ht="15" customHeight="1">
      <c r="A6" s="14"/>
      <c r="B6" s="1"/>
      <c r="C6" s="1"/>
      <c r="D6" s="1"/>
      <c r="E6" s="1"/>
      <c r="F6" s="1"/>
      <c r="G6" s="1"/>
      <c r="H6" s="1"/>
      <c r="I6" s="1"/>
      <c r="J6" s="13"/>
    </row>
    <row r="7" spans="1:10" ht="15" customHeight="1">
      <c r="A7" s="14"/>
      <c r="B7" s="1"/>
      <c r="C7" s="1"/>
      <c r="D7" s="1"/>
      <c r="E7" s="1"/>
      <c r="F7" s="1"/>
      <c r="G7" s="1"/>
      <c r="H7" s="1"/>
      <c r="I7" s="1"/>
      <c r="J7" s="13"/>
    </row>
    <row r="8" spans="1:10" ht="15" customHeight="1">
      <c r="A8" s="14"/>
      <c r="B8" s="1"/>
      <c r="C8" s="1"/>
      <c r="D8" s="1"/>
      <c r="E8" s="1"/>
      <c r="F8" s="1"/>
      <c r="G8" s="1"/>
      <c r="H8" s="1"/>
      <c r="I8" s="1"/>
      <c r="J8" s="13"/>
    </row>
    <row r="9" spans="1:10" ht="15" customHeight="1">
      <c r="A9" s="14"/>
      <c r="B9" s="1"/>
      <c r="C9" s="1"/>
      <c r="D9" s="1"/>
      <c r="E9" s="1"/>
      <c r="F9" s="1"/>
      <c r="G9" s="1"/>
      <c r="H9" s="1"/>
      <c r="I9" s="1"/>
      <c r="J9" s="13"/>
    </row>
    <row r="10" spans="1:10" ht="15" customHeight="1">
      <c r="A10" s="14"/>
      <c r="B10" s="1"/>
      <c r="C10" s="1"/>
      <c r="D10" s="1"/>
      <c r="E10" s="1"/>
      <c r="F10" s="1"/>
      <c r="G10" s="1"/>
      <c r="H10" s="1"/>
      <c r="I10" s="1"/>
      <c r="J10" s="13"/>
    </row>
    <row r="11" spans="1:10" ht="15" customHeight="1">
      <c r="A11" s="14"/>
      <c r="B11" s="1"/>
      <c r="C11" s="1"/>
      <c r="D11" s="1"/>
      <c r="E11" s="1"/>
      <c r="F11" s="1"/>
      <c r="G11" s="1"/>
      <c r="H11" s="1"/>
      <c r="I11" s="1"/>
      <c r="J11" s="13"/>
    </row>
    <row r="12" spans="1:10" ht="14.25" customHeight="1">
      <c r="A12" s="41"/>
      <c r="B12" s="1"/>
      <c r="C12" s="1"/>
      <c r="D12" s="1"/>
      <c r="E12" s="1"/>
      <c r="F12" s="1"/>
      <c r="G12" s="1"/>
      <c r="H12" s="1"/>
      <c r="I12" s="1"/>
      <c r="J12" s="13"/>
    </row>
    <row r="13" spans="1:10" ht="15">
      <c r="A13" s="15"/>
      <c r="B13" s="1"/>
      <c r="C13" s="1"/>
      <c r="D13" s="1"/>
      <c r="E13" s="1"/>
      <c r="F13" s="1"/>
      <c r="G13" s="1"/>
      <c r="H13" s="1"/>
      <c r="I13" s="1"/>
      <c r="J13" s="13"/>
    </row>
    <row r="14" spans="1:10" ht="19.5">
      <c r="A14" s="16"/>
      <c r="B14" s="1"/>
      <c r="C14" s="1"/>
      <c r="D14" s="1"/>
      <c r="E14" s="1"/>
      <c r="F14" s="1"/>
      <c r="G14" s="1"/>
      <c r="H14" s="1"/>
      <c r="I14" s="1"/>
      <c r="J14" s="13"/>
    </row>
    <row r="15" spans="1:10" ht="19.5">
      <c r="A15" s="16"/>
      <c r="B15" s="1"/>
      <c r="C15" s="1"/>
      <c r="D15" s="1"/>
      <c r="E15" s="1"/>
      <c r="F15" s="1"/>
      <c r="G15" s="1"/>
      <c r="H15" s="1"/>
      <c r="I15" s="1"/>
      <c r="J15" s="13"/>
    </row>
    <row r="16" spans="1:10" ht="19.5">
      <c r="A16" s="16"/>
      <c r="B16" s="1"/>
      <c r="C16" s="1"/>
      <c r="D16" s="1"/>
      <c r="E16" s="1"/>
      <c r="F16" s="1"/>
      <c r="G16" s="1"/>
      <c r="H16" s="1"/>
      <c r="I16" s="1"/>
      <c r="J16" s="13"/>
    </row>
    <row r="17" spans="1:10" ht="19.5">
      <c r="A17" s="16"/>
      <c r="B17" s="1"/>
      <c r="C17" s="1"/>
      <c r="D17" s="1"/>
      <c r="E17" s="1"/>
      <c r="F17" s="1"/>
      <c r="G17" s="1"/>
      <c r="H17" s="1"/>
      <c r="I17" s="1"/>
      <c r="J17" s="13"/>
    </row>
    <row r="18" spans="1:10" ht="19.5">
      <c r="A18" s="16"/>
      <c r="B18" s="1"/>
      <c r="C18" s="1"/>
      <c r="D18" s="1"/>
      <c r="E18" s="1"/>
      <c r="F18" s="1"/>
      <c r="G18" s="1"/>
      <c r="H18" s="1"/>
      <c r="I18" s="1"/>
      <c r="J18" s="13"/>
    </row>
    <row r="19" spans="1:10" ht="19.5">
      <c r="A19" s="16"/>
      <c r="B19" s="1"/>
      <c r="C19" s="1"/>
      <c r="D19" s="1"/>
      <c r="E19" s="1"/>
      <c r="F19" s="1"/>
      <c r="G19" s="1"/>
      <c r="H19" s="1"/>
      <c r="I19" s="1"/>
      <c r="J19" s="13"/>
    </row>
    <row r="20" spans="1:10" ht="19.5">
      <c r="A20" s="16"/>
      <c r="B20" s="1"/>
      <c r="C20" s="1"/>
      <c r="D20" s="1"/>
      <c r="E20" s="1"/>
      <c r="F20" s="1"/>
      <c r="G20" s="1"/>
      <c r="H20" s="1"/>
      <c r="I20" s="1"/>
      <c r="J20" s="13"/>
    </row>
    <row r="21" spans="1:10" ht="15">
      <c r="A21" s="17"/>
      <c r="B21" s="1"/>
      <c r="C21" s="1"/>
      <c r="D21" s="1"/>
      <c r="E21" s="1"/>
      <c r="F21" s="1"/>
      <c r="G21" s="1"/>
      <c r="H21" s="1"/>
      <c r="I21" s="1"/>
      <c r="J21" s="13"/>
    </row>
    <row r="22" spans="1:10" ht="15" customHeight="1">
      <c r="A22" s="546" t="s">
        <v>75</v>
      </c>
      <c r="B22" s="547"/>
      <c r="C22" s="547"/>
      <c r="D22" s="547"/>
      <c r="E22" s="547"/>
      <c r="F22" s="547"/>
      <c r="G22" s="547"/>
      <c r="H22" s="547"/>
      <c r="I22" s="547"/>
      <c r="J22" s="548"/>
    </row>
    <row r="23" spans="1:10" ht="15" customHeight="1">
      <c r="A23" s="546"/>
      <c r="B23" s="547"/>
      <c r="C23" s="547"/>
      <c r="D23" s="547"/>
      <c r="E23" s="547"/>
      <c r="F23" s="547"/>
      <c r="G23" s="547"/>
      <c r="H23" s="547"/>
      <c r="I23" s="547"/>
      <c r="J23" s="548"/>
    </row>
    <row r="24" spans="1:10" ht="15" customHeight="1">
      <c r="A24" s="546"/>
      <c r="B24" s="547"/>
      <c r="C24" s="547"/>
      <c r="D24" s="547"/>
      <c r="E24" s="547"/>
      <c r="F24" s="547"/>
      <c r="G24" s="547"/>
      <c r="H24" s="547"/>
      <c r="I24" s="547"/>
      <c r="J24" s="548"/>
    </row>
    <row r="25" spans="1:10" ht="21" customHeight="1">
      <c r="A25" s="549" t="s">
        <v>361</v>
      </c>
      <c r="B25" s="550"/>
      <c r="C25" s="550"/>
      <c r="D25" s="550"/>
      <c r="E25" s="550"/>
      <c r="F25" s="550"/>
      <c r="G25" s="550"/>
      <c r="H25" s="550"/>
      <c r="I25" s="550"/>
      <c r="J25" s="551"/>
    </row>
    <row r="26" spans="1:10" ht="12.75">
      <c r="A26" s="14"/>
      <c r="B26" s="1"/>
      <c r="C26" s="1"/>
      <c r="D26" s="1"/>
      <c r="E26" s="1"/>
      <c r="F26" s="1"/>
      <c r="G26" s="1"/>
      <c r="H26" s="1"/>
      <c r="I26" s="1"/>
      <c r="J26" s="13"/>
    </row>
    <row r="27" spans="1:10" ht="12.75">
      <c r="A27" s="14"/>
      <c r="B27" s="1"/>
      <c r="C27" s="1"/>
      <c r="D27" s="1"/>
      <c r="E27" s="1"/>
      <c r="F27" s="1"/>
      <c r="G27" s="1"/>
      <c r="H27" s="1"/>
      <c r="I27" s="1"/>
      <c r="J27" s="13"/>
    </row>
    <row r="28" spans="1:10" ht="12.75">
      <c r="A28" s="14"/>
      <c r="B28" s="1"/>
      <c r="C28" s="1"/>
      <c r="D28" s="1"/>
      <c r="E28" s="1"/>
      <c r="F28" s="1"/>
      <c r="G28" s="1"/>
      <c r="H28" s="1"/>
      <c r="I28" s="1"/>
      <c r="J28" s="13"/>
    </row>
    <row r="29" spans="1:10" ht="12.75">
      <c r="A29" s="14"/>
      <c r="B29" s="1"/>
      <c r="C29" s="1"/>
      <c r="D29" s="1"/>
      <c r="E29" s="1"/>
      <c r="F29" s="1"/>
      <c r="G29" s="1"/>
      <c r="H29" s="1"/>
      <c r="I29" s="1"/>
      <c r="J29" s="13"/>
    </row>
    <row r="30" spans="1:10" ht="12.75">
      <c r="A30" s="14"/>
      <c r="B30" s="1"/>
      <c r="C30" s="1"/>
      <c r="D30" s="1"/>
      <c r="E30" s="1"/>
      <c r="F30" s="1"/>
      <c r="G30" s="1"/>
      <c r="H30" s="1"/>
      <c r="I30" s="1"/>
      <c r="J30" s="13"/>
    </row>
    <row r="31" spans="1:10" ht="12.75">
      <c r="A31" s="14"/>
      <c r="B31" s="1"/>
      <c r="C31" s="1"/>
      <c r="D31" s="1"/>
      <c r="E31" s="1"/>
      <c r="F31" s="1"/>
      <c r="G31" s="1"/>
      <c r="H31" s="1"/>
      <c r="I31" s="1"/>
      <c r="J31" s="13"/>
    </row>
    <row r="32" spans="1:10" ht="12.75">
      <c r="A32" s="14"/>
      <c r="B32" s="1"/>
      <c r="C32" s="1"/>
      <c r="D32" s="1"/>
      <c r="E32" s="1"/>
      <c r="F32" s="1"/>
      <c r="G32" s="1"/>
      <c r="H32" s="1"/>
      <c r="I32" s="1"/>
      <c r="J32" s="13"/>
    </row>
    <row r="33" spans="1:10" ht="12.75">
      <c r="A33" s="14"/>
      <c r="B33" s="1"/>
      <c r="C33" s="1"/>
      <c r="D33" s="1"/>
      <c r="E33" s="1"/>
      <c r="F33" s="1"/>
      <c r="G33" s="1"/>
      <c r="H33" s="1"/>
      <c r="I33" s="1"/>
      <c r="J33" s="13"/>
    </row>
    <row r="34" spans="1:10" ht="12.75">
      <c r="A34" s="14"/>
      <c r="B34" s="1"/>
      <c r="C34" s="1"/>
      <c r="D34" s="1"/>
      <c r="E34" s="1"/>
      <c r="F34" s="1"/>
      <c r="G34" s="1"/>
      <c r="H34" s="1"/>
      <c r="I34" s="1"/>
      <c r="J34" s="13"/>
    </row>
    <row r="35" spans="1:10" ht="12.75">
      <c r="A35" s="14"/>
      <c r="B35" s="1"/>
      <c r="C35" s="1"/>
      <c r="D35" s="1"/>
      <c r="E35" s="1"/>
      <c r="F35" s="1"/>
      <c r="G35" s="1"/>
      <c r="H35" s="1"/>
      <c r="I35" s="1"/>
      <c r="J35" s="13"/>
    </row>
    <row r="36" spans="1:10" ht="12.75">
      <c r="A36" s="14"/>
      <c r="B36" s="1"/>
      <c r="C36" s="1"/>
      <c r="D36" s="1"/>
      <c r="E36" s="1"/>
      <c r="F36" s="1"/>
      <c r="G36" s="1"/>
      <c r="H36" s="1"/>
      <c r="I36" s="1"/>
      <c r="J36" s="13"/>
    </row>
    <row r="37" spans="1:10" ht="12.75">
      <c r="A37" s="14"/>
      <c r="B37" s="1"/>
      <c r="C37" s="1"/>
      <c r="D37" s="1"/>
      <c r="E37" s="1"/>
      <c r="F37" s="1"/>
      <c r="G37" s="1"/>
      <c r="H37" s="1"/>
      <c r="I37" s="1"/>
      <c r="J37" s="13"/>
    </row>
    <row r="38" spans="1:10" ht="12.75">
      <c r="A38" s="14"/>
      <c r="B38" s="1"/>
      <c r="C38" s="1"/>
      <c r="D38" s="1"/>
      <c r="E38" s="1"/>
      <c r="F38" s="1"/>
      <c r="G38" s="1"/>
      <c r="H38" s="1"/>
      <c r="I38" s="1"/>
      <c r="J38" s="13"/>
    </row>
    <row r="39" spans="1:10" ht="12.75">
      <c r="A39" s="14"/>
      <c r="B39" s="1"/>
      <c r="C39" s="1"/>
      <c r="D39" s="1"/>
      <c r="E39" s="1"/>
      <c r="F39" s="1"/>
      <c r="G39" s="1"/>
      <c r="H39" s="1"/>
      <c r="I39" s="1"/>
      <c r="J39" s="13"/>
    </row>
    <row r="40" spans="1:10" ht="12.75">
      <c r="A40" s="14"/>
      <c r="B40" s="1"/>
      <c r="C40" s="1"/>
      <c r="D40" s="1"/>
      <c r="E40" s="1"/>
      <c r="F40" s="1"/>
      <c r="G40" s="1"/>
      <c r="H40" s="1"/>
      <c r="I40" s="1"/>
      <c r="J40" s="13"/>
    </row>
    <row r="41" spans="1:10" ht="12.75">
      <c r="A41" s="14"/>
      <c r="B41" s="1"/>
      <c r="C41" s="1"/>
      <c r="D41" s="1"/>
      <c r="E41" s="1"/>
      <c r="F41" s="1"/>
      <c r="G41" s="1"/>
      <c r="H41" s="1"/>
      <c r="I41" s="1"/>
      <c r="J41" s="13"/>
    </row>
    <row r="42" spans="1:10" ht="12.75">
      <c r="A42" s="14"/>
      <c r="B42" s="1"/>
      <c r="C42" s="1"/>
      <c r="D42" s="1"/>
      <c r="E42" s="1"/>
      <c r="F42" s="1"/>
      <c r="G42" s="1"/>
      <c r="H42" s="1"/>
      <c r="I42" s="1"/>
      <c r="J42" s="13"/>
    </row>
    <row r="43" spans="1:10" ht="12.75">
      <c r="A43" s="14"/>
      <c r="B43" s="1"/>
      <c r="C43" s="1"/>
      <c r="D43" s="1"/>
      <c r="E43" s="1"/>
      <c r="F43" s="1"/>
      <c r="G43" s="1"/>
      <c r="H43" s="1"/>
      <c r="I43" s="1"/>
      <c r="J43" s="13"/>
    </row>
    <row r="44" spans="1:10" ht="12.75">
      <c r="A44" s="14"/>
      <c r="B44" s="1"/>
      <c r="C44" s="1"/>
      <c r="D44" s="1"/>
      <c r="E44" s="1"/>
      <c r="F44" s="1"/>
      <c r="G44" s="1"/>
      <c r="H44" s="1"/>
      <c r="I44" s="1"/>
      <c r="J44" s="13"/>
    </row>
    <row r="45" spans="1:10" ht="12.75">
      <c r="A45" s="14"/>
      <c r="B45" s="1"/>
      <c r="C45" s="1"/>
      <c r="D45" s="1"/>
      <c r="E45" s="1"/>
      <c r="F45" s="1"/>
      <c r="G45" s="1"/>
      <c r="H45" s="1"/>
      <c r="I45" s="1"/>
      <c r="J45" s="1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3"/>
    </row>
    <row r="47" spans="1:10" ht="12.75">
      <c r="A47" s="14"/>
      <c r="B47" s="1"/>
      <c r="C47" s="1"/>
      <c r="D47" s="1"/>
      <c r="E47" s="1"/>
      <c r="F47" s="1"/>
      <c r="G47" s="1"/>
      <c r="H47" s="1"/>
      <c r="I47" s="1"/>
      <c r="J47" s="13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3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3"/>
    </row>
    <row r="50" spans="1:10" ht="12.75">
      <c r="A50" s="14"/>
      <c r="B50" s="1"/>
      <c r="C50" s="1"/>
      <c r="D50" s="1"/>
      <c r="E50" s="1"/>
      <c r="F50" s="1"/>
      <c r="G50" s="1"/>
      <c r="H50" s="1"/>
      <c r="I50" s="1"/>
      <c r="J50" s="13"/>
    </row>
    <row r="51" spans="1:10" ht="12.75">
      <c r="A51" s="14"/>
      <c r="B51" s="1"/>
      <c r="C51" s="1"/>
      <c r="D51" s="1"/>
      <c r="E51" s="1"/>
      <c r="F51" s="1"/>
      <c r="G51" s="1"/>
      <c r="H51" s="1"/>
      <c r="I51" s="1"/>
      <c r="J51" s="13"/>
    </row>
    <row r="52" spans="1:10" ht="12.75">
      <c r="A52" s="14"/>
      <c r="B52" s="1"/>
      <c r="C52" s="1"/>
      <c r="D52" s="1"/>
      <c r="E52" s="1"/>
      <c r="F52" s="1"/>
      <c r="G52" s="1"/>
      <c r="H52" s="1"/>
      <c r="I52" s="1"/>
      <c r="J52" s="13"/>
    </row>
    <row r="53" spans="1:10" ht="12.75">
      <c r="A53" s="14"/>
      <c r="B53" s="1"/>
      <c r="C53" s="1"/>
      <c r="D53" s="1"/>
      <c r="E53" s="1"/>
      <c r="F53" s="1"/>
      <c r="G53" s="1"/>
      <c r="H53" s="1"/>
      <c r="I53" s="1"/>
      <c r="J53" s="13"/>
    </row>
    <row r="54" spans="1:10" ht="12.75">
      <c r="A54" s="14"/>
      <c r="B54" s="1"/>
      <c r="C54" s="1"/>
      <c r="D54" s="1"/>
      <c r="E54" s="1"/>
      <c r="F54" s="1"/>
      <c r="G54" s="1"/>
      <c r="H54" s="1"/>
      <c r="I54" s="1"/>
      <c r="J54" s="13"/>
    </row>
    <row r="55" spans="1:10" ht="12.75">
      <c r="A55" s="14"/>
      <c r="B55" s="1"/>
      <c r="C55" s="1"/>
      <c r="D55" s="1"/>
      <c r="E55" s="1"/>
      <c r="F55" s="1"/>
      <c r="G55" s="1"/>
      <c r="H55" s="1"/>
      <c r="I55" s="1"/>
      <c r="J55" s="13"/>
    </row>
    <row r="56" spans="1:10" ht="12.75">
      <c r="A56" s="14"/>
      <c r="B56" s="1"/>
      <c r="C56" s="1"/>
      <c r="D56" s="1"/>
      <c r="E56" s="1"/>
      <c r="F56" s="1"/>
      <c r="G56" s="1"/>
      <c r="H56" s="1"/>
      <c r="I56" s="1"/>
      <c r="J56" s="13"/>
    </row>
    <row r="57" spans="1:10" ht="12.75">
      <c r="A57" s="14"/>
      <c r="B57" s="1"/>
      <c r="C57" s="1"/>
      <c r="D57" s="1"/>
      <c r="E57" s="1"/>
      <c r="F57" s="1"/>
      <c r="G57" s="1"/>
      <c r="H57" s="1"/>
      <c r="I57" s="1"/>
      <c r="J57" s="13"/>
    </row>
    <row r="58" spans="1:10" ht="12.75">
      <c r="A58" s="14"/>
      <c r="B58" s="1"/>
      <c r="C58" s="1"/>
      <c r="D58" s="1"/>
      <c r="E58" s="1"/>
      <c r="F58" s="1"/>
      <c r="G58" s="1"/>
      <c r="H58" s="1"/>
      <c r="I58" s="1"/>
      <c r="J58" s="13"/>
    </row>
    <row r="59" spans="1:10" ht="12.75">
      <c r="A59" s="14"/>
      <c r="B59" s="1"/>
      <c r="C59" s="1"/>
      <c r="D59" s="1"/>
      <c r="E59" s="1"/>
      <c r="F59" s="1"/>
      <c r="G59" s="1"/>
      <c r="H59" s="1"/>
      <c r="I59" s="1"/>
      <c r="J59" s="13"/>
    </row>
    <row r="60" spans="1:10" ht="12.75">
      <c r="A60" s="14"/>
      <c r="B60" s="1"/>
      <c r="C60" s="1"/>
      <c r="D60" s="1"/>
      <c r="E60" s="1"/>
      <c r="F60" s="1"/>
      <c r="G60" s="1"/>
      <c r="H60" s="1"/>
      <c r="I60" s="1"/>
      <c r="J60" s="13"/>
    </row>
    <row r="61" spans="1:10" ht="12" customHeight="1">
      <c r="A61" s="541"/>
      <c r="B61" s="542"/>
      <c r="C61" s="1"/>
      <c r="D61" s="1"/>
      <c r="E61" s="1"/>
      <c r="F61" s="1"/>
      <c r="G61" s="1"/>
      <c r="H61" s="1"/>
      <c r="I61" s="1"/>
      <c r="J61" s="13"/>
    </row>
    <row r="62" spans="1:10" ht="15">
      <c r="A62" s="541" t="s">
        <v>370</v>
      </c>
      <c r="B62" s="542"/>
      <c r="C62" s="1"/>
      <c r="D62" s="1"/>
      <c r="E62" s="1"/>
      <c r="F62" s="1"/>
      <c r="G62" s="1"/>
      <c r="H62" s="1"/>
      <c r="I62" s="1"/>
      <c r="J62" s="13"/>
    </row>
    <row r="63" spans="1:10" ht="12.75">
      <c r="A63" s="42"/>
      <c r="B63" s="43"/>
      <c r="C63" s="43"/>
      <c r="D63" s="43"/>
      <c r="E63" s="43"/>
      <c r="F63" s="43"/>
      <c r="G63" s="43"/>
      <c r="H63" s="43"/>
      <c r="I63" s="43"/>
      <c r="J63" s="44"/>
    </row>
  </sheetData>
  <sheetProtection/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22299459" r:id="rId1"/>
    <oleObject progId="Word.Picture.8" shapeId="222994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3" width="10.7109375" style="10" customWidth="1"/>
    <col min="4" max="4" width="7.8515625" style="10" bestFit="1" customWidth="1"/>
    <col min="5" max="6" width="10.7109375" style="10" customWidth="1"/>
    <col min="7" max="7" width="7.8515625" style="10" bestFit="1" customWidth="1"/>
    <col min="8" max="11" width="10.7109375" style="10" customWidth="1"/>
    <col min="12" max="16384" width="11.421875" style="10" customWidth="1"/>
  </cols>
  <sheetData>
    <row r="1" spans="1:11" ht="15.75">
      <c r="A1" s="637" t="s">
        <v>22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11" ht="15">
      <c r="A2" s="7"/>
      <c r="B2" s="8"/>
      <c r="C2" s="8"/>
      <c r="D2" s="9"/>
      <c r="E2" s="9"/>
      <c r="F2" s="9"/>
      <c r="G2" s="9"/>
      <c r="H2" s="9"/>
      <c r="I2" s="9"/>
      <c r="J2" s="9"/>
      <c r="K2" s="8"/>
    </row>
    <row r="4" spans="1:11" ht="14.25">
      <c r="A4" s="283" t="s">
        <v>3</v>
      </c>
      <c r="B4" s="638">
        <v>2015</v>
      </c>
      <c r="C4" s="639"/>
      <c r="D4" s="640"/>
      <c r="E4" s="638">
        <v>2014</v>
      </c>
      <c r="F4" s="639"/>
      <c r="G4" s="640"/>
      <c r="H4" s="638" t="s">
        <v>4</v>
      </c>
      <c r="I4" s="640"/>
      <c r="J4" s="638" t="s">
        <v>5</v>
      </c>
      <c r="K4" s="639"/>
    </row>
    <row r="5" spans="1:11" ht="14.25">
      <c r="A5" s="284"/>
      <c r="B5" s="508" t="s">
        <v>7</v>
      </c>
      <c r="C5" s="509" t="s">
        <v>6</v>
      </c>
      <c r="D5" s="509" t="s">
        <v>8</v>
      </c>
      <c r="E5" s="508" t="s">
        <v>7</v>
      </c>
      <c r="F5" s="509" t="s">
        <v>6</v>
      </c>
      <c r="G5" s="509" t="s">
        <v>8</v>
      </c>
      <c r="H5" s="508" t="s">
        <v>7</v>
      </c>
      <c r="I5" s="510" t="s">
        <v>6</v>
      </c>
      <c r="J5" s="509" t="s">
        <v>7</v>
      </c>
      <c r="K5" s="509" t="s">
        <v>6</v>
      </c>
    </row>
    <row r="6" spans="1:11" ht="14.25">
      <c r="A6" s="35" t="s">
        <v>9</v>
      </c>
      <c r="B6" s="489">
        <v>39831</v>
      </c>
      <c r="C6" s="489">
        <v>228973.33333333334</v>
      </c>
      <c r="D6" s="493">
        <f aca="true" t="shared" si="0" ref="D6:D14">(B6*1000)/C6</f>
        <v>173.95475455657134</v>
      </c>
      <c r="E6" s="489">
        <v>48347</v>
      </c>
      <c r="F6" s="489">
        <v>284700</v>
      </c>
      <c r="G6" s="493">
        <f aca="true" t="shared" si="1" ref="G6:G19">(E6*1000)/F6</f>
        <v>169.8173515981735</v>
      </c>
      <c r="H6" s="489">
        <f>B6+SUM(E15:E18)+(E13)</f>
        <v>282612</v>
      </c>
      <c r="I6" s="489">
        <f>C6+SUM(F15:F18)+(F13)</f>
        <v>1572566.6666666667</v>
      </c>
      <c r="J6" s="489">
        <f>B6+SUM(E15:E18)+SUM(E7:E13)</f>
        <v>554808</v>
      </c>
      <c r="K6" s="489">
        <f>C6+SUM(F15:F18)+SUM(F7:F13)</f>
        <v>3189680</v>
      </c>
    </row>
    <row r="7" spans="1:12" ht="14.25">
      <c r="A7" s="35" t="s">
        <v>10</v>
      </c>
      <c r="B7" s="489">
        <v>42123</v>
      </c>
      <c r="C7" s="489">
        <v>235993.33333333334</v>
      </c>
      <c r="D7" s="493">
        <f t="shared" si="0"/>
        <v>178.49233029181616</v>
      </c>
      <c r="E7" s="489">
        <v>41030</v>
      </c>
      <c r="F7" s="489">
        <v>246653.33333333334</v>
      </c>
      <c r="G7" s="493">
        <f t="shared" si="1"/>
        <v>166.3468295583545</v>
      </c>
      <c r="H7" s="489">
        <f>SUM(B6:B7)+SUM(E15:E18)</f>
        <v>271870</v>
      </c>
      <c r="I7" s="489">
        <f>SUM(C6:C7)+SUM(F15:F18)</f>
        <v>1517143.3333333335</v>
      </c>
      <c r="J7" s="489">
        <f>SUM(B6:B7)+SUM(E15:E18)+SUM(E8:E13)</f>
        <v>555901</v>
      </c>
      <c r="K7" s="489">
        <f>SUM(C6:C7)+SUM(F15:F18)+SUM(F8:F13)</f>
        <v>3179020</v>
      </c>
      <c r="L7" s="102"/>
    </row>
    <row r="8" spans="1:11" ht="14.25">
      <c r="A8" s="35" t="s">
        <v>11</v>
      </c>
      <c r="B8" s="489">
        <v>50779</v>
      </c>
      <c r="C8" s="489">
        <v>289813.3333333333</v>
      </c>
      <c r="D8" s="493">
        <f t="shared" si="0"/>
        <v>175.21278064041223</v>
      </c>
      <c r="E8" s="489">
        <v>37647</v>
      </c>
      <c r="F8" s="489">
        <v>225203.33333333334</v>
      </c>
      <c r="G8" s="493">
        <f t="shared" si="1"/>
        <v>167.16892881988127</v>
      </c>
      <c r="H8" s="489">
        <f>SUM(B6:B8)+SUM(E16:E18)</f>
        <v>269081</v>
      </c>
      <c r="I8" s="489">
        <f>SUM(C6:C8)+SUM(F16:F18)</f>
        <v>1504880</v>
      </c>
      <c r="J8" s="489">
        <f>SUM(B6:B8)+SUM(E15:E18)+SUM(E9:E13)</f>
        <v>569033</v>
      </c>
      <c r="K8" s="489">
        <f>SUM(C6:C8)+SUM(F15:F18)+SUM(F9:F13)</f>
        <v>3243630</v>
      </c>
    </row>
    <row r="9" spans="1:11" ht="14.25">
      <c r="A9" s="35" t="s">
        <v>12</v>
      </c>
      <c r="B9" s="489">
        <v>51658</v>
      </c>
      <c r="C9" s="489">
        <v>306626.6666666667</v>
      </c>
      <c r="D9" s="493">
        <f t="shared" si="0"/>
        <v>168.4719746053833</v>
      </c>
      <c r="E9" s="489">
        <v>48691</v>
      </c>
      <c r="F9" s="489">
        <v>293063.3333333333</v>
      </c>
      <c r="G9" s="493">
        <f t="shared" si="1"/>
        <v>166.14497435139162</v>
      </c>
      <c r="H9" s="489">
        <f>SUM(B6:B9)+SUM(E17:E18)</f>
        <v>275894</v>
      </c>
      <c r="I9" s="489">
        <f>SUM(C6:C9)+SUM(F17:F18)</f>
        <v>1565676.6666666667</v>
      </c>
      <c r="J9" s="489">
        <f>SUM(B6:B9)+SUM(E15:E18)+SUM(E10:E13)</f>
        <v>572000</v>
      </c>
      <c r="K9" s="489">
        <f>SUM(C6:C9)+SUM(F15:F18)+SUM(F10:F13)</f>
        <v>3257193.3333333335</v>
      </c>
    </row>
    <row r="10" spans="1:11" ht="14.25">
      <c r="A10" s="35" t="s">
        <v>13</v>
      </c>
      <c r="B10" s="489">
        <v>44442</v>
      </c>
      <c r="C10" s="489">
        <v>266023.3333333333</v>
      </c>
      <c r="D10" s="493">
        <f t="shared" si="0"/>
        <v>167.06053353715842</v>
      </c>
      <c r="E10" s="489">
        <v>43749</v>
      </c>
      <c r="F10" s="489">
        <v>268016.6666666667</v>
      </c>
      <c r="G10" s="493">
        <f t="shared" si="1"/>
        <v>163.23238604564392</v>
      </c>
      <c r="H10" s="489">
        <f>SUM(B6:B10)+(E18)</f>
        <v>282895</v>
      </c>
      <c r="I10" s="489">
        <f>SUM(C6:C10)+(F18)</f>
        <v>1624956.6666666667</v>
      </c>
      <c r="J10" s="489">
        <f>SUM(B6:B10)+SUM(E15:E18)+SUM(E11:E13)</f>
        <v>572693</v>
      </c>
      <c r="K10" s="489">
        <f>SUM(C6:C10)+SUM(F15:F18)+SUM(F11:F13)</f>
        <v>3255200</v>
      </c>
    </row>
    <row r="11" spans="1:11" ht="14.25">
      <c r="A11" s="35" t="s">
        <v>14</v>
      </c>
      <c r="B11" s="489">
        <v>51099</v>
      </c>
      <c r="C11" s="489">
        <v>307406.6666666667</v>
      </c>
      <c r="D11" s="493">
        <f t="shared" si="0"/>
        <v>166.22606319533298</v>
      </c>
      <c r="E11" s="489">
        <v>45827</v>
      </c>
      <c r="F11" s="489">
        <v>270053.3333333333</v>
      </c>
      <c r="G11" s="493">
        <f t="shared" si="1"/>
        <v>169.69610941048683</v>
      </c>
      <c r="H11" s="489">
        <f aca="true" t="shared" si="2" ref="H11:I13">SUM(B6:B11)</f>
        <v>279932</v>
      </c>
      <c r="I11" s="489">
        <f t="shared" si="2"/>
        <v>1634836.6666666667</v>
      </c>
      <c r="J11" s="489">
        <f>SUM(B6:B11)+SUM(E15:E18)+SUM(E12:E13)</f>
        <v>577965</v>
      </c>
      <c r="K11" s="489">
        <f>SUM(C6:C11)+SUM(F15:F18)+SUM(F12:F13)</f>
        <v>3292553.3333333335</v>
      </c>
    </row>
    <row r="12" spans="1:11" ht="14.25">
      <c r="A12" s="35" t="s">
        <v>16</v>
      </c>
      <c r="B12" s="489">
        <v>50698</v>
      </c>
      <c r="C12" s="489">
        <v>315553</v>
      </c>
      <c r="D12" s="493">
        <f t="shared" si="0"/>
        <v>160.66397720826612</v>
      </c>
      <c r="E12" s="492">
        <v>55252</v>
      </c>
      <c r="F12" s="492">
        <v>314123.3333333333</v>
      </c>
      <c r="G12" s="493">
        <f>(E12*1000)/F12</f>
        <v>175.89269607479017</v>
      </c>
      <c r="H12" s="487">
        <f t="shared" si="2"/>
        <v>290799</v>
      </c>
      <c r="I12" s="487">
        <f t="shared" si="2"/>
        <v>1721416.3333333333</v>
      </c>
      <c r="J12" s="487">
        <f>SUM(B6:B12)+SUM(E15:E18)+E13</f>
        <v>573411</v>
      </c>
      <c r="K12" s="487">
        <f>SUM(C6:C12)+SUM(F15:F18)+F13</f>
        <v>3293983</v>
      </c>
    </row>
    <row r="13" spans="1:11" ht="14.25">
      <c r="A13" s="35" t="s">
        <v>17</v>
      </c>
      <c r="B13" s="489">
        <v>50178.065</v>
      </c>
      <c r="C13" s="489">
        <v>306961.113</v>
      </c>
      <c r="D13" s="493">
        <f t="shared" si="0"/>
        <v>163.4671718172979</v>
      </c>
      <c r="E13" s="489">
        <v>52865</v>
      </c>
      <c r="F13" s="489">
        <v>291416.6666666667</v>
      </c>
      <c r="G13" s="493">
        <f>(E13*1000)/F13</f>
        <v>181.40692021732912</v>
      </c>
      <c r="H13" s="491">
        <f t="shared" si="2"/>
        <v>298854.065</v>
      </c>
      <c r="I13" s="491">
        <f t="shared" si="2"/>
        <v>1792384.113</v>
      </c>
      <c r="J13" s="491">
        <f>SUM(B6:B13)+SUM(E6:E9)</f>
        <v>556523.065</v>
      </c>
      <c r="K13" s="491">
        <f>SUM(C6:C13)+SUM(F6:F9)</f>
        <v>3306970.779666667</v>
      </c>
    </row>
    <row r="14" spans="1:11" ht="14.25">
      <c r="A14" s="285" t="s">
        <v>15</v>
      </c>
      <c r="B14" s="494">
        <f>SUM(B6:B13)</f>
        <v>380808.065</v>
      </c>
      <c r="C14" s="495">
        <f>SUM(C6:C13)</f>
        <v>2257350.779666667</v>
      </c>
      <c r="D14" s="504">
        <f t="shared" si="0"/>
        <v>168.696893912178</v>
      </c>
      <c r="E14" s="494">
        <f>SUM(E6:E13)</f>
        <v>373408</v>
      </c>
      <c r="F14" s="495">
        <f>SUM(F6:F13)</f>
        <v>2193230</v>
      </c>
      <c r="G14" s="504">
        <f t="shared" si="1"/>
        <v>170.25482963483083</v>
      </c>
      <c r="H14" s="486"/>
      <c r="I14" s="486"/>
      <c r="J14" s="486"/>
      <c r="K14" s="486"/>
    </row>
    <row r="15" spans="1:11" ht="14.25">
      <c r="A15" s="35" t="s">
        <v>18</v>
      </c>
      <c r="B15" s="489"/>
      <c r="C15" s="489"/>
      <c r="D15" s="493"/>
      <c r="E15" s="489">
        <v>53568</v>
      </c>
      <c r="F15" s="489">
        <v>302076.6666666667</v>
      </c>
      <c r="G15" s="493">
        <f t="shared" si="1"/>
        <v>177.332465268199</v>
      </c>
      <c r="H15" s="489"/>
      <c r="I15" s="489"/>
      <c r="J15" s="489"/>
      <c r="K15" s="489"/>
    </row>
    <row r="16" spans="1:11" ht="14.25">
      <c r="A16" s="35" t="s">
        <v>19</v>
      </c>
      <c r="B16" s="489"/>
      <c r="C16" s="489"/>
      <c r="D16" s="493"/>
      <c r="E16" s="489">
        <v>44845</v>
      </c>
      <c r="F16" s="489">
        <v>245830</v>
      </c>
      <c r="G16" s="493">
        <f t="shared" si="1"/>
        <v>182.42281251271203</v>
      </c>
      <c r="H16" s="489"/>
      <c r="I16" s="489"/>
      <c r="J16" s="489"/>
      <c r="K16" s="489"/>
    </row>
    <row r="17" spans="1:11" ht="14.25">
      <c r="A17" s="35" t="s">
        <v>20</v>
      </c>
      <c r="B17" s="489"/>
      <c r="C17" s="489"/>
      <c r="D17" s="493"/>
      <c r="E17" s="489">
        <v>37441</v>
      </c>
      <c r="F17" s="489">
        <v>206743.33333333334</v>
      </c>
      <c r="G17" s="493">
        <f t="shared" si="1"/>
        <v>181.09894716476146</v>
      </c>
      <c r="H17" s="489"/>
      <c r="I17" s="489"/>
      <c r="J17" s="489"/>
      <c r="K17" s="489"/>
    </row>
    <row r="18" spans="1:11" ht="14.25">
      <c r="A18" s="35" t="s">
        <v>21</v>
      </c>
      <c r="B18" s="489"/>
      <c r="C18" s="489"/>
      <c r="D18" s="493"/>
      <c r="E18" s="489">
        <v>54062</v>
      </c>
      <c r="F18" s="489">
        <v>297526.6666666667</v>
      </c>
      <c r="G18" s="497">
        <f t="shared" si="1"/>
        <v>181.70472114544353</v>
      </c>
      <c r="H18" s="489"/>
      <c r="I18" s="489"/>
      <c r="J18" s="489"/>
      <c r="K18" s="489"/>
    </row>
    <row r="19" spans="1:11" ht="14.25">
      <c r="A19" s="286" t="s">
        <v>15</v>
      </c>
      <c r="B19" s="494"/>
      <c r="C19" s="495"/>
      <c r="D19" s="506"/>
      <c r="E19" s="495">
        <f>SUM(E15:E18)</f>
        <v>189916</v>
      </c>
      <c r="F19" s="495">
        <f>SUM(F15:F18)</f>
        <v>1052176.6666666667</v>
      </c>
      <c r="G19" s="503">
        <f t="shared" si="1"/>
        <v>180.49820530772715</v>
      </c>
      <c r="H19" s="500"/>
      <c r="I19" s="500"/>
      <c r="J19" s="500"/>
      <c r="K19" s="500"/>
    </row>
    <row r="20" spans="1:11" ht="14.25">
      <c r="A20" s="286" t="s">
        <v>2</v>
      </c>
      <c r="B20" s="501">
        <f>SUM(B14,B19)</f>
        <v>380808.065</v>
      </c>
      <c r="C20" s="502">
        <f>SUM(C14,C19)</f>
        <v>2257350.779666667</v>
      </c>
      <c r="D20" s="507">
        <f>(B20*1000)/C20</f>
        <v>168.696893912178</v>
      </c>
      <c r="E20" s="494">
        <f>SUM(E14,E19)</f>
        <v>563324</v>
      </c>
      <c r="F20" s="495">
        <f>SUM(F14,F19)</f>
        <v>3245406.666666667</v>
      </c>
      <c r="G20" s="504">
        <f>(E20*1000)/F20</f>
        <v>173.575781976989</v>
      </c>
      <c r="H20" s="505"/>
      <c r="I20" s="505"/>
      <c r="J20" s="505"/>
      <c r="K20" s="505"/>
    </row>
    <row r="21" spans="1:11" ht="14.25">
      <c r="A21" s="4" t="s">
        <v>147</v>
      </c>
      <c r="B21" s="6"/>
      <c r="C21" s="6"/>
      <c r="D21" s="3"/>
      <c r="E21" s="292" t="s">
        <v>165</v>
      </c>
      <c r="F21" s="5"/>
      <c r="G21" s="3"/>
      <c r="H21" s="3"/>
      <c r="I21" s="3"/>
      <c r="J21" s="3"/>
      <c r="K21" s="3"/>
    </row>
    <row r="22" spans="1:11" ht="14.25">
      <c r="A22" s="4" t="s">
        <v>358</v>
      </c>
      <c r="B22" s="6"/>
      <c r="C22" s="6"/>
      <c r="D22" s="3"/>
      <c r="E22" s="5"/>
      <c r="F22" s="5"/>
      <c r="G22" s="3"/>
      <c r="H22" s="3"/>
      <c r="I22" s="3"/>
      <c r="J22" s="3"/>
      <c r="K22" s="3"/>
    </row>
    <row r="23" spans="1:11" ht="14.25">
      <c r="A23" s="4" t="s">
        <v>80</v>
      </c>
      <c r="B23" s="6"/>
      <c r="C23" s="6"/>
      <c r="D23" s="3"/>
      <c r="E23" s="5"/>
      <c r="F23" s="5"/>
      <c r="G23" s="3"/>
      <c r="H23" s="3"/>
      <c r="I23" s="3"/>
      <c r="J23" s="3"/>
      <c r="K23" s="3"/>
    </row>
    <row r="24" spans="1:11" ht="14.25">
      <c r="A24" s="4" t="s">
        <v>167</v>
      </c>
      <c r="B24" s="6"/>
      <c r="C24" s="6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79</v>
      </c>
      <c r="B25" s="6"/>
      <c r="C25" s="6"/>
      <c r="D25" s="3"/>
      <c r="E25" s="3"/>
      <c r="F25" s="3"/>
      <c r="G25" s="3"/>
      <c r="H25" s="3"/>
      <c r="I25" s="3"/>
      <c r="J25" s="3"/>
      <c r="K25" s="3"/>
    </row>
    <row r="26" spans="1:3" ht="14.25">
      <c r="A26" s="6"/>
      <c r="B26" s="6"/>
      <c r="C26" s="6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4 D2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M32" sqref="M32"/>
    </sheetView>
  </sheetViews>
  <sheetFormatPr defaultColWidth="11.421875" defaultRowHeight="12.75"/>
  <cols>
    <col min="1" max="3" width="10.7109375" style="10" customWidth="1"/>
    <col min="4" max="4" width="7.8515625" style="10" bestFit="1" customWidth="1"/>
    <col min="5" max="6" width="10.7109375" style="10" customWidth="1"/>
    <col min="7" max="7" width="7.8515625" style="10" bestFit="1" customWidth="1"/>
    <col min="8" max="11" width="10.7109375" style="10" customWidth="1"/>
    <col min="12" max="16384" width="11.421875" style="10" customWidth="1"/>
  </cols>
  <sheetData>
    <row r="1" spans="1:11" ht="15.75">
      <c r="A1" s="637" t="s">
        <v>224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11" ht="15">
      <c r="A2" s="7"/>
      <c r="B2" s="8"/>
      <c r="C2" s="8"/>
      <c r="D2" s="9"/>
      <c r="E2" s="9"/>
      <c r="F2" s="9"/>
      <c r="G2" s="9"/>
      <c r="H2" s="9"/>
      <c r="I2" s="9"/>
      <c r="J2" s="9"/>
      <c r="K2" s="8"/>
    </row>
    <row r="4" spans="1:11" ht="14.25">
      <c r="A4" s="283" t="s">
        <v>3</v>
      </c>
      <c r="B4" s="638">
        <v>2015</v>
      </c>
      <c r="C4" s="639"/>
      <c r="D4" s="640"/>
      <c r="E4" s="638">
        <v>2014</v>
      </c>
      <c r="F4" s="639"/>
      <c r="G4" s="640"/>
      <c r="H4" s="638" t="s">
        <v>4</v>
      </c>
      <c r="I4" s="640"/>
      <c r="J4" s="638" t="s">
        <v>5</v>
      </c>
      <c r="K4" s="639"/>
    </row>
    <row r="5" spans="1:11" ht="14.25">
      <c r="A5" s="284"/>
      <c r="B5" s="508" t="s">
        <v>7</v>
      </c>
      <c r="C5" s="509" t="s">
        <v>6</v>
      </c>
      <c r="D5" s="509" t="s">
        <v>8</v>
      </c>
      <c r="E5" s="508" t="s">
        <v>7</v>
      </c>
      <c r="F5" s="509" t="s">
        <v>6</v>
      </c>
      <c r="G5" s="509" t="s">
        <v>8</v>
      </c>
      <c r="H5" s="508" t="s">
        <v>7</v>
      </c>
      <c r="I5" s="510" t="s">
        <v>6</v>
      </c>
      <c r="J5" s="509" t="s">
        <v>7</v>
      </c>
      <c r="K5" s="509" t="s">
        <v>6</v>
      </c>
    </row>
    <row r="6" spans="1:11" ht="14.25">
      <c r="A6" s="35" t="s">
        <v>9</v>
      </c>
      <c r="B6" s="487">
        <v>302</v>
      </c>
      <c r="C6" s="487">
        <v>912.3333333333334</v>
      </c>
      <c r="D6" s="488">
        <f aca="true" t="shared" si="0" ref="D6:D13">(B6*1000)/C6</f>
        <v>331.0193642674461</v>
      </c>
      <c r="E6" s="487">
        <v>783</v>
      </c>
      <c r="F6" s="487">
        <v>1646.1666666666667</v>
      </c>
      <c r="G6" s="488">
        <f aca="true" t="shared" si="1" ref="G6:G18">(E6*1000)/F6</f>
        <v>475.65050116432116</v>
      </c>
      <c r="H6" s="489">
        <f>B6+SUM(E15:E18)+(E13)</f>
        <v>5252</v>
      </c>
      <c r="I6" s="489">
        <f>C6+SUM(F15:F18)+(F13)</f>
        <v>15172.5</v>
      </c>
      <c r="J6" s="489">
        <f>B6+SUM(E15:E18)+SUM(E7:E13)</f>
        <v>11122</v>
      </c>
      <c r="K6" s="489">
        <f>C6+SUM(F15:F18)+SUM(F7:F13)</f>
        <v>30721.666666666664</v>
      </c>
    </row>
    <row r="7" spans="1:12" ht="14.25">
      <c r="A7" s="35" t="s">
        <v>10</v>
      </c>
      <c r="B7" s="487">
        <v>912</v>
      </c>
      <c r="C7" s="487">
        <v>2816.3333333333335</v>
      </c>
      <c r="D7" s="488">
        <f t="shared" si="0"/>
        <v>323.82530476979525</v>
      </c>
      <c r="E7" s="487">
        <v>1023</v>
      </c>
      <c r="F7" s="487">
        <v>2340.3333333333335</v>
      </c>
      <c r="G7" s="488">
        <f t="shared" si="1"/>
        <v>437.1172197692636</v>
      </c>
      <c r="H7" s="489">
        <f>SUM(B6:B7)+SUM(E15:E18)</f>
        <v>5186</v>
      </c>
      <c r="I7" s="489">
        <f>SUM(C6:C7)+SUM(F15:F18)</f>
        <v>15251.833333333332</v>
      </c>
      <c r="J7" s="489">
        <f>SUM(B6:B7)+SUM(E15:E18)+SUM(E8:E13)</f>
        <v>11011</v>
      </c>
      <c r="K7" s="489">
        <f>SUM(C6:C7)+SUM(F15:F18)+SUM(F8:F13)</f>
        <v>31197.666666666664</v>
      </c>
      <c r="L7" s="102"/>
    </row>
    <row r="8" spans="1:11" ht="14.25">
      <c r="A8" s="35" t="s">
        <v>11</v>
      </c>
      <c r="B8" s="487">
        <v>1146</v>
      </c>
      <c r="C8" s="487">
        <v>3946.8333333333335</v>
      </c>
      <c r="D8" s="488">
        <f t="shared" si="0"/>
        <v>290.3593598243317</v>
      </c>
      <c r="E8" s="487">
        <v>877</v>
      </c>
      <c r="F8" s="487">
        <v>2221.3333333333335</v>
      </c>
      <c r="G8" s="488">
        <f t="shared" si="1"/>
        <v>394.80792316926767</v>
      </c>
      <c r="H8" s="489">
        <f>SUM(B6:B8)+SUM(E16:E18)</f>
        <v>5027</v>
      </c>
      <c r="I8" s="489">
        <f>SUM(C6:C8)+SUM(F16:F18)</f>
        <v>15747.666666666668</v>
      </c>
      <c r="J8" s="489">
        <f>SUM(B6:B8)+SUM(E15:E18)+SUM(E9:E13)</f>
        <v>11280</v>
      </c>
      <c r="K8" s="489">
        <f>SUM(C6:C8)+SUM(F15:F18)+SUM(F9:F13)</f>
        <v>32923.166666666664</v>
      </c>
    </row>
    <row r="9" spans="1:11" ht="14.25">
      <c r="A9" s="35" t="s">
        <v>12</v>
      </c>
      <c r="B9" s="487">
        <v>607</v>
      </c>
      <c r="C9" s="487">
        <v>1804.8333333333333</v>
      </c>
      <c r="D9" s="488">
        <f t="shared" si="0"/>
        <v>336.31914304183215</v>
      </c>
      <c r="E9" s="487">
        <v>909</v>
      </c>
      <c r="F9" s="487">
        <v>2598.1666666666665</v>
      </c>
      <c r="G9" s="488">
        <f t="shared" si="1"/>
        <v>349.86208223747514</v>
      </c>
      <c r="H9" s="489">
        <f>SUM(B6:B9)+SUM(E17:E18)</f>
        <v>4010</v>
      </c>
      <c r="I9" s="489">
        <f>SUM(C6:C9)+SUM(F17:F18)</f>
        <v>12733</v>
      </c>
      <c r="J9" s="489">
        <f>SUM(B6:B9)+SUM(E15:E18)+SUM(E10:E13)</f>
        <v>10978</v>
      </c>
      <c r="K9" s="489">
        <f>SUM(C6:C9)+SUM(F15:F18)+SUM(F10:F13)</f>
        <v>32129.833333333332</v>
      </c>
    </row>
    <row r="10" spans="1:11" ht="14.25">
      <c r="A10" s="35" t="s">
        <v>13</v>
      </c>
      <c r="B10" s="487">
        <v>795</v>
      </c>
      <c r="C10" s="487">
        <v>2419.6666666666665</v>
      </c>
      <c r="D10" s="488">
        <f t="shared" si="0"/>
        <v>328.55765256922444</v>
      </c>
      <c r="E10" s="487">
        <v>589</v>
      </c>
      <c r="F10" s="487">
        <v>1765.1666666666667</v>
      </c>
      <c r="G10" s="488">
        <f t="shared" si="1"/>
        <v>333.6795392314229</v>
      </c>
      <c r="H10" s="489">
        <f>SUM(B6:B10)+(E18)</f>
        <v>4146</v>
      </c>
      <c r="I10" s="489">
        <f>SUM(C6:C10)+(F18)</f>
        <v>13129.666666666666</v>
      </c>
      <c r="J10" s="489">
        <f>SUM(B6:B10)+SUM(E15:E18)+SUM(E11:E13)</f>
        <v>11184</v>
      </c>
      <c r="K10" s="489">
        <f>SUM(C6:C10)+SUM(F15:F18)+SUM(F11:F13)</f>
        <v>32784.33333333333</v>
      </c>
    </row>
    <row r="11" spans="1:11" ht="14.25">
      <c r="A11" s="35" t="s">
        <v>14</v>
      </c>
      <c r="B11" s="487">
        <v>1280</v>
      </c>
      <c r="C11" s="487">
        <v>4184.833333333333</v>
      </c>
      <c r="D11" s="488">
        <f t="shared" si="0"/>
        <v>305.8664223983432</v>
      </c>
      <c r="E11" s="487">
        <v>1483</v>
      </c>
      <c r="F11" s="487">
        <v>3907.1666666666665</v>
      </c>
      <c r="G11" s="488">
        <f t="shared" si="1"/>
        <v>379.5589301710532</v>
      </c>
      <c r="H11" s="489">
        <f aca="true" t="shared" si="2" ref="H11:I13">SUM(B6:B11)</f>
        <v>5042</v>
      </c>
      <c r="I11" s="489">
        <f t="shared" si="2"/>
        <v>16084.833333333332</v>
      </c>
      <c r="J11" s="489">
        <f>SUM(B6:B11)+SUM(E15:E18)+SUM(E12:E13)</f>
        <v>10981</v>
      </c>
      <c r="K11" s="489">
        <f>SUM(C6:C11)+SUM(F15:F18)+SUM(F12:F13)</f>
        <v>33062</v>
      </c>
    </row>
    <row r="12" spans="1:11" ht="14.25">
      <c r="A12" s="10" t="s">
        <v>16</v>
      </c>
      <c r="B12" s="490">
        <v>1103</v>
      </c>
      <c r="C12" s="486">
        <v>3709</v>
      </c>
      <c r="D12" s="490">
        <f t="shared" si="0"/>
        <v>297.3847398220545</v>
      </c>
      <c r="E12" s="490">
        <v>989</v>
      </c>
      <c r="F12" s="490">
        <v>2717</v>
      </c>
      <c r="G12" s="490">
        <f t="shared" si="1"/>
        <v>364.0044166359956</v>
      </c>
      <c r="H12" s="487">
        <f t="shared" si="2"/>
        <v>5843</v>
      </c>
      <c r="I12" s="487">
        <f t="shared" si="2"/>
        <v>18881.5</v>
      </c>
      <c r="J12" s="487">
        <f>SUM(B6:B12)+SUM(E15:E18)+E13</f>
        <v>11095</v>
      </c>
      <c r="K12" s="487">
        <f>SUM(C6:C12)+SUM(F15:F18)+F13</f>
        <v>34054</v>
      </c>
    </row>
    <row r="13" spans="1:11" ht="14.25">
      <c r="A13" s="35" t="s">
        <v>17</v>
      </c>
      <c r="B13" s="487">
        <v>804.887</v>
      </c>
      <c r="C13" s="487">
        <v>2307.648</v>
      </c>
      <c r="D13" s="488">
        <f t="shared" si="0"/>
        <v>348.791063455085</v>
      </c>
      <c r="E13" s="487">
        <v>978</v>
      </c>
      <c r="F13" s="487">
        <v>2737</v>
      </c>
      <c r="G13" s="488">
        <f>(E13*1000)/F13</f>
        <v>357.32553891121665</v>
      </c>
      <c r="H13" s="491">
        <f t="shared" si="2"/>
        <v>5735.887</v>
      </c>
      <c r="I13" s="491">
        <f t="shared" si="2"/>
        <v>18372.81466666667</v>
      </c>
      <c r="J13" s="491">
        <f>SUM(B6:B13)+SUM(E6:E9)</f>
        <v>10541.886999999999</v>
      </c>
      <c r="K13" s="491">
        <f>SUM(C6:C13)+SUM(F6:F9)</f>
        <v>30907.481333333333</v>
      </c>
    </row>
    <row r="14" spans="1:11" ht="14.25">
      <c r="A14" s="286" t="s">
        <v>15</v>
      </c>
      <c r="B14" s="494">
        <f>SUM(B6:B13)</f>
        <v>6949.887</v>
      </c>
      <c r="C14" s="495">
        <f>SUM(C6:C13)</f>
        <v>22101.481333333333</v>
      </c>
      <c r="D14" s="504">
        <f>(B14*1000)/C14</f>
        <v>314.45344749440926</v>
      </c>
      <c r="E14" s="494">
        <f>SUM(E6:E13)</f>
        <v>7631</v>
      </c>
      <c r="F14" s="495">
        <f>SUM(F6:F13)</f>
        <v>19932.333333333332</v>
      </c>
      <c r="G14" s="504">
        <f>(E14*1000)/F14</f>
        <v>382.84529324213594</v>
      </c>
      <c r="H14" s="500"/>
      <c r="I14" s="500"/>
      <c r="J14" s="500"/>
      <c r="K14" s="500"/>
    </row>
    <row r="15" spans="1:11" ht="14.25">
      <c r="A15" s="35" t="s">
        <v>18</v>
      </c>
      <c r="B15" s="487"/>
      <c r="C15" s="487"/>
      <c r="D15" s="488"/>
      <c r="E15" s="487">
        <v>1305</v>
      </c>
      <c r="F15" s="487">
        <v>3451</v>
      </c>
      <c r="G15" s="488">
        <f t="shared" si="1"/>
        <v>378.1512605042017</v>
      </c>
      <c r="H15" s="487"/>
      <c r="I15" s="487"/>
      <c r="J15" s="487"/>
      <c r="K15" s="487"/>
    </row>
    <row r="16" spans="1:11" ht="14.25">
      <c r="A16" s="35" t="s">
        <v>19</v>
      </c>
      <c r="B16" s="487"/>
      <c r="C16" s="487"/>
      <c r="D16" s="488"/>
      <c r="E16" s="487">
        <v>1624</v>
      </c>
      <c r="F16" s="487">
        <v>4819.5</v>
      </c>
      <c r="G16" s="488">
        <f t="shared" si="1"/>
        <v>336.96441539578797</v>
      </c>
      <c r="H16" s="487"/>
      <c r="I16" s="487"/>
      <c r="J16" s="487"/>
      <c r="K16" s="487"/>
    </row>
    <row r="17" spans="1:11" ht="14.25">
      <c r="A17" s="35" t="s">
        <v>20</v>
      </c>
      <c r="B17" s="487"/>
      <c r="C17" s="487"/>
      <c r="D17" s="488"/>
      <c r="E17" s="487">
        <v>659</v>
      </c>
      <c r="F17" s="487">
        <v>2023</v>
      </c>
      <c r="G17" s="488">
        <f t="shared" si="1"/>
        <v>325.75383094414235</v>
      </c>
      <c r="H17" s="487"/>
      <c r="I17" s="487"/>
      <c r="J17" s="487"/>
      <c r="K17" s="487"/>
    </row>
    <row r="18" spans="1:11" ht="14.25">
      <c r="A18" s="35" t="s">
        <v>21</v>
      </c>
      <c r="B18" s="487"/>
      <c r="C18" s="487"/>
      <c r="D18" s="488"/>
      <c r="E18" s="487">
        <v>384</v>
      </c>
      <c r="F18" s="487">
        <v>1229.6666666666667</v>
      </c>
      <c r="G18" s="497">
        <f t="shared" si="1"/>
        <v>312.2797506099214</v>
      </c>
      <c r="H18" s="487"/>
      <c r="I18" s="487"/>
      <c r="J18" s="487"/>
      <c r="K18" s="487"/>
    </row>
    <row r="19" spans="1:11" ht="14.25">
      <c r="A19" s="286" t="s">
        <v>15</v>
      </c>
      <c r="B19" s="494"/>
      <c r="C19" s="495"/>
      <c r="D19" s="506"/>
      <c r="E19" s="498">
        <f>SUM(E15:E18)</f>
        <v>3972</v>
      </c>
      <c r="F19" s="498">
        <f>SUM(F15:F18)</f>
        <v>11523.166666666666</v>
      </c>
      <c r="G19" s="499">
        <f>(E19*1000)/F19</f>
        <v>344.69691491054255</v>
      </c>
      <c r="H19" s="500"/>
      <c r="I19" s="500"/>
      <c r="J19" s="500"/>
      <c r="K19" s="500"/>
    </row>
    <row r="20" spans="1:11" ht="14.25">
      <c r="A20" s="285" t="s">
        <v>2</v>
      </c>
      <c r="B20" s="501">
        <f>SUM(B14,B19)</f>
        <v>6949.887</v>
      </c>
      <c r="C20" s="502">
        <f>SUM(C14,C19)</f>
        <v>22101.481333333333</v>
      </c>
      <c r="D20" s="507">
        <f>(B20*1000)/C20</f>
        <v>314.45344749440926</v>
      </c>
      <c r="E20" s="494">
        <f>SUM(E14,E19)</f>
        <v>11603</v>
      </c>
      <c r="F20" s="495">
        <f>SUM(F14,F19)</f>
        <v>31455.5</v>
      </c>
      <c r="G20" s="504">
        <f>(E20*1000)/F20</f>
        <v>368.8703088490089</v>
      </c>
      <c r="H20" s="505"/>
      <c r="I20" s="505"/>
      <c r="J20" s="505"/>
      <c r="K20" s="505"/>
    </row>
    <row r="21" spans="1:11" ht="14.25">
      <c r="A21" s="4" t="s">
        <v>147</v>
      </c>
      <c r="B21" s="6"/>
      <c r="C21" s="6"/>
      <c r="D21" s="3"/>
      <c r="E21" s="292" t="s">
        <v>166</v>
      </c>
      <c r="F21" s="5"/>
      <c r="G21" s="3"/>
      <c r="H21" s="3"/>
      <c r="I21" s="3"/>
      <c r="J21" s="3"/>
      <c r="K21" s="3"/>
    </row>
    <row r="22" spans="1:11" ht="14.25">
      <c r="A22" s="4" t="s">
        <v>358</v>
      </c>
      <c r="B22" s="6"/>
      <c r="C22" s="6"/>
      <c r="D22" s="3"/>
      <c r="E22" s="5"/>
      <c r="F22" s="5"/>
      <c r="G22" s="3"/>
      <c r="H22" s="3"/>
      <c r="I22" s="3"/>
      <c r="J22" s="3"/>
      <c r="K22" s="3"/>
    </row>
    <row r="23" spans="1:11" ht="14.25">
      <c r="A23" s="4" t="s">
        <v>80</v>
      </c>
      <c r="B23" s="6"/>
      <c r="C23" s="6"/>
      <c r="D23" s="3"/>
      <c r="E23" s="5"/>
      <c r="F23" s="5"/>
      <c r="G23" s="3"/>
      <c r="H23" s="3"/>
      <c r="I23" s="3"/>
      <c r="J23" s="3"/>
      <c r="K23" s="3"/>
    </row>
    <row r="24" spans="1:11" ht="14.25">
      <c r="A24" s="4" t="s">
        <v>167</v>
      </c>
      <c r="B24" s="6"/>
      <c r="C24" s="6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79</v>
      </c>
      <c r="B25" s="6"/>
      <c r="C25" s="6"/>
      <c r="D25" s="3"/>
      <c r="E25" s="3"/>
      <c r="F25" s="3"/>
      <c r="G25" s="3"/>
      <c r="H25" s="3"/>
      <c r="I25" s="3"/>
      <c r="J25" s="3"/>
      <c r="K25" s="3"/>
    </row>
    <row r="26" spans="1:3" ht="14.25">
      <c r="A26" s="6"/>
      <c r="B26" s="6"/>
      <c r="C26" s="6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2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4">
      <selection activeCell="M24" sqref="M24"/>
    </sheetView>
  </sheetViews>
  <sheetFormatPr defaultColWidth="11.421875" defaultRowHeight="12.75"/>
  <cols>
    <col min="1" max="3" width="10.7109375" style="10" customWidth="1"/>
    <col min="4" max="4" width="7.8515625" style="10" bestFit="1" customWidth="1"/>
    <col min="5" max="6" width="10.7109375" style="10" customWidth="1"/>
    <col min="7" max="7" width="7.8515625" style="10" bestFit="1" customWidth="1"/>
    <col min="8" max="11" width="10.7109375" style="10" customWidth="1"/>
    <col min="12" max="16384" width="11.421875" style="10" customWidth="1"/>
  </cols>
  <sheetData>
    <row r="1" spans="1:11" ht="15.75">
      <c r="A1" s="637" t="s">
        <v>205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11" ht="15">
      <c r="A2" s="7"/>
      <c r="B2" s="8"/>
      <c r="C2" s="8"/>
      <c r="D2" s="9"/>
      <c r="E2" s="9"/>
      <c r="F2" s="9"/>
      <c r="G2" s="9"/>
      <c r="H2" s="9"/>
      <c r="I2" s="9"/>
      <c r="J2" s="9"/>
      <c r="K2" s="8"/>
    </row>
    <row r="4" spans="1:11" ht="14.25">
      <c r="A4" s="283" t="s">
        <v>3</v>
      </c>
      <c r="B4" s="638">
        <v>2015</v>
      </c>
      <c r="C4" s="639"/>
      <c r="D4" s="640"/>
      <c r="E4" s="638">
        <v>2014</v>
      </c>
      <c r="F4" s="639"/>
      <c r="G4" s="640"/>
      <c r="H4" s="638" t="s">
        <v>4</v>
      </c>
      <c r="I4" s="640"/>
      <c r="J4" s="638" t="s">
        <v>5</v>
      </c>
      <c r="K4" s="639"/>
    </row>
    <row r="5" spans="1:11" ht="14.25">
      <c r="A5" s="284"/>
      <c r="B5" s="134" t="s">
        <v>7</v>
      </c>
      <c r="C5" s="135" t="s">
        <v>6</v>
      </c>
      <c r="D5" s="135" t="s">
        <v>8</v>
      </c>
      <c r="E5" s="134" t="s">
        <v>7</v>
      </c>
      <c r="F5" s="135" t="s">
        <v>6</v>
      </c>
      <c r="G5" s="135" t="s">
        <v>8</v>
      </c>
      <c r="H5" s="134" t="s">
        <v>7</v>
      </c>
      <c r="I5" s="136" t="s">
        <v>6</v>
      </c>
      <c r="J5" s="135" t="s">
        <v>7</v>
      </c>
      <c r="K5" s="135" t="s">
        <v>6</v>
      </c>
    </row>
    <row r="6" spans="1:11" ht="14.25">
      <c r="A6" s="35" t="s">
        <v>9</v>
      </c>
      <c r="B6" s="487">
        <v>2615</v>
      </c>
      <c r="C6" s="487">
        <v>25696.666666666668</v>
      </c>
      <c r="D6" s="488">
        <f aca="true" t="shared" si="0" ref="D6:D11">(B6*1000)/C6</f>
        <v>101.76417174730834</v>
      </c>
      <c r="E6" s="487">
        <v>3194</v>
      </c>
      <c r="F6" s="487">
        <v>24266.666666666668</v>
      </c>
      <c r="G6" s="488">
        <f aca="true" t="shared" si="1" ref="G6:G18">(E6*1000)/F6</f>
        <v>131.62087912087912</v>
      </c>
      <c r="H6" s="489">
        <f>B6+SUM(E15:E18)+(E13)</f>
        <v>18153</v>
      </c>
      <c r="I6" s="489">
        <f>C6+SUM(F15:F18)+(F13)</f>
        <v>141743.33333333334</v>
      </c>
      <c r="J6" s="489">
        <f>B6+SUM(E15:E18)+SUM(E7:E13)</f>
        <v>45252</v>
      </c>
      <c r="K6" s="489">
        <f>C6+SUM(F15:F18)+SUM(F7:F13)</f>
        <v>351303.3333333333</v>
      </c>
    </row>
    <row r="7" spans="1:12" ht="14.25">
      <c r="A7" s="35" t="s">
        <v>10</v>
      </c>
      <c r="B7" s="487">
        <v>3503</v>
      </c>
      <c r="C7" s="487">
        <v>24613.333333333332</v>
      </c>
      <c r="D7" s="488">
        <f t="shared" si="0"/>
        <v>142.32123510292524</v>
      </c>
      <c r="E7" s="487">
        <v>4360</v>
      </c>
      <c r="F7" s="487">
        <v>33626.666666666664</v>
      </c>
      <c r="G7" s="488">
        <f t="shared" si="1"/>
        <v>129.65900079302142</v>
      </c>
      <c r="H7" s="489">
        <f>SUM(B6:B7)+SUM(E15:E18)</f>
        <v>18241</v>
      </c>
      <c r="I7" s="489">
        <f>SUM(C6:C7)+SUM(F15:F18)</f>
        <v>141050</v>
      </c>
      <c r="J7" s="489">
        <f>SUM(B6:B7)+SUM(E15:E18)+SUM(E8:E13)</f>
        <v>44395</v>
      </c>
      <c r="K7" s="489">
        <f>SUM(C6:C7)+SUM(F15:F18)+SUM(F8:F13)</f>
        <v>342290</v>
      </c>
      <c r="L7" s="102"/>
    </row>
    <row r="8" spans="1:11" ht="14.25">
      <c r="A8" s="35" t="s">
        <v>11</v>
      </c>
      <c r="B8" s="487">
        <v>3664</v>
      </c>
      <c r="C8" s="487">
        <v>21926.666666666668</v>
      </c>
      <c r="D8" s="488">
        <f t="shared" si="0"/>
        <v>167.10246275463666</v>
      </c>
      <c r="E8" s="487">
        <v>3905</v>
      </c>
      <c r="F8" s="487">
        <v>25480</v>
      </c>
      <c r="G8" s="488">
        <f t="shared" si="1"/>
        <v>153.2574568288854</v>
      </c>
      <c r="H8" s="489">
        <f>SUM(B6:B8)+SUM(E16:E18)</f>
        <v>17422</v>
      </c>
      <c r="I8" s="489">
        <f>SUM(C6:C8)+SUM(F16:F18)</f>
        <v>132080</v>
      </c>
      <c r="J8" s="489">
        <f>SUM(B6:B8)+SUM(E15:E18)+SUM(E9:E13)</f>
        <v>44154</v>
      </c>
      <c r="K8" s="489">
        <f>SUM(C6:C8)+SUM(F15:F18)+SUM(F9:F13)</f>
        <v>338736.6666666667</v>
      </c>
    </row>
    <row r="9" spans="1:11" ht="14.25">
      <c r="A9" s="35" t="s">
        <v>12</v>
      </c>
      <c r="B9" s="487">
        <v>4108</v>
      </c>
      <c r="C9" s="487">
        <v>26433.333333333332</v>
      </c>
      <c r="D9" s="488">
        <f t="shared" si="0"/>
        <v>155.40983606557378</v>
      </c>
      <c r="E9" s="487">
        <v>3679</v>
      </c>
      <c r="F9" s="487">
        <v>28860</v>
      </c>
      <c r="G9" s="488">
        <f t="shared" si="1"/>
        <v>127.47747747747748</v>
      </c>
      <c r="H9" s="489">
        <f>SUM(B6:B9)+SUM(E17:E18)</f>
        <v>19503</v>
      </c>
      <c r="I9" s="489">
        <f>SUM(C6:C9)+SUM(F17:F18)</f>
        <v>145513.3333333333</v>
      </c>
      <c r="J9" s="489">
        <f>SUM(B6:B9)+SUM(E15:E18)+SUM(E10:E13)</f>
        <v>44583</v>
      </c>
      <c r="K9" s="489">
        <f>SUM(C6:C9)+SUM(F15:F18)+SUM(F10:F13)</f>
        <v>336310</v>
      </c>
    </row>
    <row r="10" spans="1:11" ht="14.25">
      <c r="A10" s="35" t="s">
        <v>13</v>
      </c>
      <c r="B10" s="487">
        <v>4077</v>
      </c>
      <c r="C10" s="487">
        <v>28123.333333333332</v>
      </c>
      <c r="D10" s="488">
        <f t="shared" si="0"/>
        <v>144.9685907313026</v>
      </c>
      <c r="E10" s="487">
        <v>4730</v>
      </c>
      <c r="F10" s="487">
        <v>36530</v>
      </c>
      <c r="G10" s="488">
        <f t="shared" si="1"/>
        <v>129.482617027101</v>
      </c>
      <c r="H10" s="489">
        <f>SUM(B6:B10)+(E18)</f>
        <v>21688</v>
      </c>
      <c r="I10" s="489">
        <f>SUM(C6:C10)+(F18)</f>
        <v>158166.66666666666</v>
      </c>
      <c r="J10" s="489">
        <f>SUM(B6:B10)+SUM(E15:E18)+SUM(E11:E13)</f>
        <v>43930</v>
      </c>
      <c r="K10" s="489">
        <f>SUM(C6:C10)+SUM(F15:F18)+SUM(F11:F13)</f>
        <v>327903.3333333333</v>
      </c>
    </row>
    <row r="11" spans="1:11" ht="14.25">
      <c r="A11" s="35" t="s">
        <v>14</v>
      </c>
      <c r="B11" s="487">
        <v>4392</v>
      </c>
      <c r="C11" s="487">
        <v>32890</v>
      </c>
      <c r="D11" s="488">
        <f t="shared" si="0"/>
        <v>133.5360291882031</v>
      </c>
      <c r="E11" s="487">
        <v>5628</v>
      </c>
      <c r="F11" s="487">
        <v>46323.333333333336</v>
      </c>
      <c r="G11" s="488">
        <f t="shared" si="1"/>
        <v>121.49384759300568</v>
      </c>
      <c r="H11" s="489">
        <f aca="true" t="shared" si="2" ref="H11:I13">SUM(B6:B11)</f>
        <v>22359</v>
      </c>
      <c r="I11" s="489">
        <f t="shared" si="2"/>
        <v>159683.3333333333</v>
      </c>
      <c r="J11" s="489">
        <f>SUM(B6:B11)+SUM(E15:E18)+SUM(E12:E13)</f>
        <v>42694</v>
      </c>
      <c r="K11" s="489">
        <f>SUM(C6:C11)+SUM(F15:F18)+SUM(F12:F13)</f>
        <v>314470</v>
      </c>
    </row>
    <row r="12" spans="1:11" ht="14.25">
      <c r="A12" s="35" t="s">
        <v>16</v>
      </c>
      <c r="B12" s="487">
        <v>3418</v>
      </c>
      <c r="C12" s="487">
        <v>29510</v>
      </c>
      <c r="D12" s="493">
        <f>(B12*1000)/C12</f>
        <v>115.82514401897662</v>
      </c>
      <c r="E12" s="487">
        <v>4797</v>
      </c>
      <c r="F12" s="487">
        <v>38740</v>
      </c>
      <c r="G12" s="488">
        <f>(E12*1000)/F12</f>
        <v>123.8255033557047</v>
      </c>
      <c r="H12" s="487">
        <f t="shared" si="2"/>
        <v>23162</v>
      </c>
      <c r="I12" s="487">
        <f t="shared" si="2"/>
        <v>163496.66666666666</v>
      </c>
      <c r="J12" s="487">
        <f>SUM(B6:B12)+SUM(E15:E18)+E13</f>
        <v>41315</v>
      </c>
      <c r="K12" s="487">
        <f>SUM(C6:C12)+SUM(F15:F18)+F13</f>
        <v>305240</v>
      </c>
    </row>
    <row r="13" spans="1:11" ht="14.25">
      <c r="A13" s="35" t="s">
        <v>17</v>
      </c>
      <c r="B13" s="487">
        <v>2052.876</v>
      </c>
      <c r="C13" s="487">
        <v>16504</v>
      </c>
      <c r="D13" s="488">
        <f>(B13*1000)/C13</f>
        <v>124.38657295201165</v>
      </c>
      <c r="E13" s="487">
        <v>3415</v>
      </c>
      <c r="F13" s="487">
        <v>25306.666666666668</v>
      </c>
      <c r="G13" s="488">
        <f>(E13*1000)/F13</f>
        <v>134.94467860906215</v>
      </c>
      <c r="H13" s="491">
        <f t="shared" si="2"/>
        <v>21711.876</v>
      </c>
      <c r="I13" s="491">
        <f t="shared" si="2"/>
        <v>155387.3333333333</v>
      </c>
      <c r="J13" s="491">
        <f>SUM(B6:B13)+SUM(E6:E9)</f>
        <v>42967.876000000004</v>
      </c>
      <c r="K13" s="491">
        <f>SUM(C6:C13)+SUM(F6:F9)</f>
        <v>317930.6666666666</v>
      </c>
    </row>
    <row r="14" spans="1:11" ht="14.25">
      <c r="A14" s="286" t="s">
        <v>15</v>
      </c>
      <c r="B14" s="494">
        <f>SUM(B6:B13)</f>
        <v>27829.876</v>
      </c>
      <c r="C14" s="495">
        <f>SUM(C6:C13)</f>
        <v>205697.3333333333</v>
      </c>
      <c r="D14" s="504">
        <f>(B14*1000)/C14</f>
        <v>135.29526877677884</v>
      </c>
      <c r="E14" s="494">
        <f>SUM(E6:E13)</f>
        <v>33708</v>
      </c>
      <c r="F14" s="495">
        <f>SUM(F6:F13)</f>
        <v>259133.3333333333</v>
      </c>
      <c r="G14" s="504">
        <f>(E14*1000)/F14</f>
        <v>130.07975302289685</v>
      </c>
      <c r="H14" s="500"/>
      <c r="I14" s="500"/>
      <c r="J14" s="500"/>
      <c r="K14" s="500"/>
    </row>
    <row r="15" spans="1:11" ht="14.25">
      <c r="A15" s="35" t="s">
        <v>18</v>
      </c>
      <c r="B15" s="487"/>
      <c r="C15" s="487"/>
      <c r="D15" s="488"/>
      <c r="E15" s="487">
        <v>4483</v>
      </c>
      <c r="F15" s="487">
        <v>30896.666666666668</v>
      </c>
      <c r="G15" s="488">
        <f t="shared" si="1"/>
        <v>145.09655842054158</v>
      </c>
      <c r="H15" s="487"/>
      <c r="I15" s="487"/>
      <c r="J15" s="487"/>
      <c r="K15" s="487"/>
    </row>
    <row r="16" spans="1:11" ht="14.25">
      <c r="A16" s="35" t="s">
        <v>19</v>
      </c>
      <c r="B16" s="487"/>
      <c r="C16" s="487"/>
      <c r="D16" s="488"/>
      <c r="E16" s="487">
        <v>2027</v>
      </c>
      <c r="F16" s="487">
        <v>13000</v>
      </c>
      <c r="G16" s="488">
        <f t="shared" si="1"/>
        <v>155.92307692307693</v>
      </c>
      <c r="H16" s="487"/>
      <c r="I16" s="487"/>
      <c r="J16" s="487"/>
      <c r="K16" s="487"/>
    </row>
    <row r="17" spans="1:11" ht="14.25">
      <c r="A17" s="35" t="s">
        <v>20</v>
      </c>
      <c r="B17" s="487"/>
      <c r="C17" s="487"/>
      <c r="D17" s="488"/>
      <c r="E17" s="487">
        <v>1892</v>
      </c>
      <c r="F17" s="487">
        <v>15470</v>
      </c>
      <c r="G17" s="488">
        <f t="shared" si="1"/>
        <v>122.30122818358113</v>
      </c>
      <c r="H17" s="487"/>
      <c r="I17" s="487"/>
      <c r="J17" s="487"/>
      <c r="K17" s="487"/>
    </row>
    <row r="18" spans="1:11" ht="14.25">
      <c r="A18" s="35" t="s">
        <v>21</v>
      </c>
      <c r="B18" s="487"/>
      <c r="C18" s="487"/>
      <c r="D18" s="488"/>
      <c r="E18" s="487">
        <v>3721</v>
      </c>
      <c r="F18" s="487">
        <v>31373.333333333332</v>
      </c>
      <c r="G18" s="497">
        <f t="shared" si="1"/>
        <v>118.60390990225245</v>
      </c>
      <c r="H18" s="487"/>
      <c r="I18" s="487"/>
      <c r="J18" s="487"/>
      <c r="K18" s="487"/>
    </row>
    <row r="19" spans="1:11" ht="14.25">
      <c r="A19" s="286" t="s">
        <v>15</v>
      </c>
      <c r="B19" s="494"/>
      <c r="C19" s="495"/>
      <c r="D19" s="506"/>
      <c r="E19" s="498">
        <f>SUM(E15:E18)</f>
        <v>12123</v>
      </c>
      <c r="F19" s="498">
        <f>SUM(F15:F18)</f>
        <v>90740</v>
      </c>
      <c r="G19" s="499">
        <f>(E19*1000)/F19</f>
        <v>133.60149878774521</v>
      </c>
      <c r="H19" s="500"/>
      <c r="I19" s="500"/>
      <c r="J19" s="500"/>
      <c r="K19" s="500"/>
    </row>
    <row r="20" spans="1:11" ht="14.25">
      <c r="A20" s="285" t="s">
        <v>2</v>
      </c>
      <c r="B20" s="501">
        <f>SUM(B14,B19)</f>
        <v>27829.876</v>
      </c>
      <c r="C20" s="502">
        <f>SUM(C14,C19)</f>
        <v>205697.3333333333</v>
      </c>
      <c r="D20" s="507">
        <f>(B20*1000)/C20</f>
        <v>135.29526877677884</v>
      </c>
      <c r="E20" s="494">
        <f>SUM(E14,E19)</f>
        <v>45831</v>
      </c>
      <c r="F20" s="495">
        <f>SUM(F14,F19)</f>
        <v>349873.3333333333</v>
      </c>
      <c r="G20" s="504">
        <f>(E20*1000)/F20</f>
        <v>130.9931213200968</v>
      </c>
      <c r="H20" s="505"/>
      <c r="I20" s="505"/>
      <c r="J20" s="505"/>
      <c r="K20" s="505"/>
    </row>
    <row r="21" spans="1:11" ht="14.25">
      <c r="A21" s="4" t="s">
        <v>147</v>
      </c>
      <c r="B21" s="6"/>
      <c r="C21" s="6"/>
      <c r="D21" s="3"/>
      <c r="E21" s="292" t="s">
        <v>199</v>
      </c>
      <c r="F21" s="5"/>
      <c r="G21" s="3"/>
      <c r="H21" s="3"/>
      <c r="I21" s="3"/>
      <c r="J21" s="3"/>
      <c r="K21" s="3"/>
    </row>
    <row r="22" spans="1:11" ht="14.25">
      <c r="A22" s="4" t="s">
        <v>358</v>
      </c>
      <c r="B22" s="6"/>
      <c r="C22" s="6"/>
      <c r="D22" s="3"/>
      <c r="E22" s="5"/>
      <c r="F22" s="5"/>
      <c r="G22" s="3"/>
      <c r="H22" s="3"/>
      <c r="I22" s="3"/>
      <c r="J22" s="3"/>
      <c r="K22" s="3"/>
    </row>
    <row r="23" spans="1:11" ht="14.25">
      <c r="A23" s="4" t="s">
        <v>80</v>
      </c>
      <c r="B23" s="6"/>
      <c r="C23" s="6"/>
      <c r="D23" s="3"/>
      <c r="E23" s="5"/>
      <c r="F23" s="5"/>
      <c r="G23" s="3"/>
      <c r="H23" s="3"/>
      <c r="I23" s="3"/>
      <c r="J23" s="3"/>
      <c r="K23" s="3"/>
    </row>
    <row r="24" spans="1:11" ht="14.25">
      <c r="A24" s="4" t="s">
        <v>167</v>
      </c>
      <c r="B24" s="6"/>
      <c r="C24" s="6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79</v>
      </c>
      <c r="B25" s="6"/>
      <c r="C25" s="6"/>
      <c r="D25" s="3"/>
      <c r="E25" s="3"/>
      <c r="F25" s="3"/>
      <c r="G25" s="3"/>
      <c r="H25" s="3"/>
      <c r="I25" s="3"/>
      <c r="J25" s="3"/>
      <c r="K25" s="3"/>
    </row>
    <row r="26" spans="1:3" ht="14.25">
      <c r="A26" s="6"/>
      <c r="B26" s="6"/>
      <c r="C26" s="6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</sheetData>
  <sheetProtection/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20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2.7109375" style="116" customWidth="1"/>
    <col min="2" max="2" width="11.140625" style="116" customWidth="1"/>
    <col min="3" max="3" width="10.57421875" style="116" customWidth="1"/>
    <col min="4" max="4" width="10.140625" style="116" customWidth="1"/>
    <col min="5" max="5" width="11.140625" style="116" customWidth="1"/>
    <col min="6" max="6" width="10.57421875" style="116" customWidth="1"/>
    <col min="7" max="7" width="10.140625" style="131" customWidth="1"/>
    <col min="8" max="8" width="9.421875" style="116" customWidth="1"/>
    <col min="9" max="9" width="10.28125" style="116" customWidth="1"/>
    <col min="10" max="10" width="9.8515625" style="116" customWidth="1"/>
    <col min="11" max="16384" width="9.140625" style="116" customWidth="1"/>
  </cols>
  <sheetData>
    <row r="1" spans="1:10" ht="15" customHeight="1">
      <c r="A1" s="629" t="s">
        <v>217</v>
      </c>
      <c r="B1" s="629"/>
      <c r="C1" s="629"/>
      <c r="D1" s="629"/>
      <c r="E1" s="629"/>
      <c r="F1" s="629"/>
      <c r="G1" s="629"/>
      <c r="H1" s="629"/>
      <c r="I1" s="629"/>
      <c r="J1" s="629"/>
    </row>
    <row r="3" spans="1:10" ht="12.75">
      <c r="A3" s="630" t="s">
        <v>149</v>
      </c>
      <c r="B3" s="632" t="str">
        <f>'Exp.Agronegócio'!C10</f>
        <v>Jan a Ago/2015</v>
      </c>
      <c r="C3" s="633"/>
      <c r="D3" s="633"/>
      <c r="E3" s="632" t="str">
        <f>'Exp.Agronegócio'!E10</f>
        <v>Jan a Ago/2014</v>
      </c>
      <c r="F3" s="633"/>
      <c r="G3" s="633"/>
      <c r="H3" s="648" t="s">
        <v>58</v>
      </c>
      <c r="I3" s="648"/>
      <c r="J3" s="649"/>
    </row>
    <row r="4" spans="1:10" ht="12.75">
      <c r="A4" s="655"/>
      <c r="B4" s="446" t="s">
        <v>1</v>
      </c>
      <c r="C4" s="446" t="s">
        <v>59</v>
      </c>
      <c r="D4" s="446" t="s">
        <v>60</v>
      </c>
      <c r="E4" s="446" t="s">
        <v>1</v>
      </c>
      <c r="F4" s="446" t="s">
        <v>59</v>
      </c>
      <c r="G4" s="446" t="s">
        <v>60</v>
      </c>
      <c r="H4" s="647" t="s">
        <v>301</v>
      </c>
      <c r="I4" s="647"/>
      <c r="J4" s="656"/>
    </row>
    <row r="5" spans="1:10" ht="12.75">
      <c r="A5" s="387"/>
      <c r="B5" s="447" t="s">
        <v>61</v>
      </c>
      <c r="C5" s="447" t="s">
        <v>62</v>
      </c>
      <c r="D5" s="448" t="s">
        <v>63</v>
      </c>
      <c r="E5" s="447" t="s">
        <v>61</v>
      </c>
      <c r="F5" s="447" t="s">
        <v>62</v>
      </c>
      <c r="G5" s="446" t="s">
        <v>63</v>
      </c>
      <c r="H5" s="447" t="s">
        <v>1</v>
      </c>
      <c r="I5" s="447" t="s">
        <v>59</v>
      </c>
      <c r="J5" s="449" t="s">
        <v>60</v>
      </c>
    </row>
    <row r="6" spans="1:10" ht="13.5" customHeight="1">
      <c r="A6" s="287" t="s">
        <v>139</v>
      </c>
      <c r="B6" s="103">
        <f>'Total Exp.sacas'!B6</f>
        <v>3685631</v>
      </c>
      <c r="C6" s="103">
        <v>1265960.058</v>
      </c>
      <c r="D6" s="117">
        <f>(B6*1000)/C6</f>
        <v>2911.3327681306673</v>
      </c>
      <c r="E6" s="103">
        <f>'Total Exp.sacas'!E6</f>
        <v>3646195</v>
      </c>
      <c r="F6" s="103">
        <v>1280532.595</v>
      </c>
      <c r="G6" s="117">
        <f>(E6*1000)/F6</f>
        <v>2847.405067420404</v>
      </c>
      <c r="H6" s="118">
        <f aca="true" t="shared" si="0" ref="H6:J7">SUM(B6-E6)*100/E6</f>
        <v>1.0815658515246716</v>
      </c>
      <c r="I6" s="118">
        <f t="shared" si="0"/>
        <v>-1.1380059404110687</v>
      </c>
      <c r="J6" s="288">
        <f t="shared" si="0"/>
        <v>2.2451214069158874</v>
      </c>
    </row>
    <row r="7" spans="1:10" ht="13.5" customHeight="1">
      <c r="A7" s="287" t="s">
        <v>64</v>
      </c>
      <c r="B7" s="103">
        <f>'Total Exp.sacas'!B7</f>
        <v>380808.065</v>
      </c>
      <c r="C7" s="103">
        <v>52093.342</v>
      </c>
      <c r="D7" s="117">
        <f>(B7*1000)/C7</f>
        <v>7310.110090460313</v>
      </c>
      <c r="E7" s="103">
        <f>'Total Exp.sacas'!E7</f>
        <v>373408</v>
      </c>
      <c r="F7" s="103">
        <v>50613.592</v>
      </c>
      <c r="G7" s="117">
        <f>(E7*1000)/F7</f>
        <v>7377.622991073228</v>
      </c>
      <c r="H7" s="118">
        <f t="shared" si="0"/>
        <v>1.9817639150741286</v>
      </c>
      <c r="I7" s="118">
        <f t="shared" si="0"/>
        <v>2.9236217812796217</v>
      </c>
      <c r="J7" s="288">
        <f t="shared" si="0"/>
        <v>-0.9151036952498751</v>
      </c>
    </row>
    <row r="8" spans="1:10" ht="13.5" customHeight="1">
      <c r="A8" s="287" t="s">
        <v>223</v>
      </c>
      <c r="B8" s="103">
        <f>'Total Exp.sacas'!B8</f>
        <v>6949.887</v>
      </c>
      <c r="C8" s="103">
        <v>1114.399</v>
      </c>
      <c r="D8" s="117">
        <f>(B8*1000)/C8</f>
        <v>6236.444038445836</v>
      </c>
      <c r="E8" s="103">
        <f>'Total Exp.sacas'!E8</f>
        <v>7631</v>
      </c>
      <c r="F8" s="103">
        <v>1005.01</v>
      </c>
      <c r="G8" s="117">
        <f>(E8*1000)/F8</f>
        <v>7592.9592740370745</v>
      </c>
      <c r="H8" s="118">
        <f aca="true" t="shared" si="1" ref="H8:J10">SUM(B8-E8)*100/E8</f>
        <v>-8.92560608046128</v>
      </c>
      <c r="I8" s="118">
        <f t="shared" si="1"/>
        <v>10.884369309758103</v>
      </c>
      <c r="J8" s="288">
        <f t="shared" si="1"/>
        <v>-17.865435420279788</v>
      </c>
    </row>
    <row r="9" spans="1:10" ht="13.5" customHeight="1">
      <c r="A9" s="289" t="s">
        <v>200</v>
      </c>
      <c r="B9" s="103">
        <f>'Total Exp.sacas'!B9</f>
        <v>27829.876</v>
      </c>
      <c r="C9" s="103">
        <v>4749.099</v>
      </c>
      <c r="D9" s="117">
        <f>(B9*1000)/C9</f>
        <v>5860.032818856797</v>
      </c>
      <c r="E9" s="103">
        <f>'Total Exp.sacas'!E9</f>
        <v>33708</v>
      </c>
      <c r="F9" s="103">
        <v>5980.065</v>
      </c>
      <c r="G9" s="117">
        <f>(E9*1000)/F9</f>
        <v>5636.72802887594</v>
      </c>
      <c r="H9" s="118">
        <f t="shared" si="1"/>
        <v>-17.438364779874213</v>
      </c>
      <c r="I9" s="118">
        <f t="shared" si="1"/>
        <v>-20.584491974585553</v>
      </c>
      <c r="J9" s="288">
        <f t="shared" si="1"/>
        <v>3.96160305831516</v>
      </c>
    </row>
    <row r="10" spans="1:10" ht="13.5" customHeight="1">
      <c r="A10" s="289" t="s">
        <v>350</v>
      </c>
      <c r="B10" s="103">
        <v>30.142</v>
      </c>
      <c r="C10" s="103">
        <v>1.76</v>
      </c>
      <c r="D10" s="117">
        <f>(B10*1000)/C10</f>
        <v>17126.136363636364</v>
      </c>
      <c r="E10" s="103">
        <v>0.823</v>
      </c>
      <c r="F10" s="103">
        <v>0.246</v>
      </c>
      <c r="G10" s="117">
        <f>(E10*1000)/F10</f>
        <v>3345.528455284553</v>
      </c>
      <c r="H10" s="118">
        <f t="shared" si="1"/>
        <v>3562.454434993925</v>
      </c>
      <c r="I10" s="118">
        <f t="shared" si="1"/>
        <v>615.4471544715448</v>
      </c>
      <c r="J10" s="288">
        <f t="shared" si="1"/>
        <v>411.91124489119625</v>
      </c>
    </row>
    <row r="11" spans="1:10" ht="12.75">
      <c r="A11" s="290" t="s">
        <v>2</v>
      </c>
      <c r="B11" s="119">
        <f>SUM(B6:B10)</f>
        <v>4101248.97</v>
      </c>
      <c r="C11" s="119">
        <f>SUM(C6:C10)</f>
        <v>1323918.6579999998</v>
      </c>
      <c r="D11" s="120">
        <v>0</v>
      </c>
      <c r="E11" s="119">
        <f>SUM(E6:E10)</f>
        <v>4060942.823</v>
      </c>
      <c r="F11" s="119">
        <f>SUM(F6:F10)</f>
        <v>1338131.508</v>
      </c>
      <c r="G11" s="120">
        <v>0</v>
      </c>
      <c r="H11" s="121">
        <f>SUM(B11-E11)*100/E11</f>
        <v>0.9925317532598106</v>
      </c>
      <c r="I11" s="121">
        <f>SUM(C11-F11)*100/F11</f>
        <v>-1.0621414946908263</v>
      </c>
      <c r="J11" s="291">
        <v>0</v>
      </c>
    </row>
    <row r="12" spans="1:10" ht="12" customHeight="1">
      <c r="A12" s="292" t="s">
        <v>147</v>
      </c>
      <c r="B12" s="36"/>
      <c r="C12" s="36"/>
      <c r="D12" s="36"/>
      <c r="E12" s="36"/>
      <c r="F12" s="36"/>
      <c r="G12" s="293"/>
      <c r="H12" s="36"/>
      <c r="I12" s="36"/>
      <c r="J12" s="36"/>
    </row>
    <row r="13" spans="1:10" ht="12" customHeight="1">
      <c r="A13" s="4" t="s">
        <v>358</v>
      </c>
      <c r="B13" s="36"/>
      <c r="C13" s="36"/>
      <c r="D13" s="36"/>
      <c r="E13" s="36"/>
      <c r="F13" s="36"/>
      <c r="G13" s="293"/>
      <c r="H13" s="36"/>
      <c r="I13" s="36"/>
      <c r="J13" s="36"/>
    </row>
    <row r="14" spans="1:10" ht="12" customHeight="1">
      <c r="A14" s="294" t="s">
        <v>186</v>
      </c>
      <c r="B14" s="36"/>
      <c r="C14" s="36"/>
      <c r="D14" s="36"/>
      <c r="E14" s="36"/>
      <c r="F14" s="36"/>
      <c r="G14" s="293"/>
      <c r="H14" s="36"/>
      <c r="I14" s="36"/>
      <c r="J14" s="36"/>
    </row>
    <row r="15" spans="1:10" ht="12" customHeight="1">
      <c r="A15" s="294" t="s">
        <v>165</v>
      </c>
      <c r="B15" s="36"/>
      <c r="C15" s="36"/>
      <c r="D15" s="36"/>
      <c r="E15" s="36"/>
      <c r="F15" s="36"/>
      <c r="G15" s="293"/>
      <c r="H15" s="36"/>
      <c r="I15" s="36"/>
      <c r="J15" s="36"/>
    </row>
    <row r="16" spans="1:10" ht="12" customHeight="1">
      <c r="A16" s="294" t="s">
        <v>166</v>
      </c>
      <c r="B16" s="36"/>
      <c r="C16" s="36"/>
      <c r="D16" s="36"/>
      <c r="E16" s="36"/>
      <c r="F16" s="36"/>
      <c r="G16" s="293"/>
      <c r="H16" s="36"/>
      <c r="I16" s="36"/>
      <c r="J16" s="36"/>
    </row>
    <row r="17" spans="1:10" ht="12" customHeight="1">
      <c r="A17" s="294" t="s">
        <v>199</v>
      </c>
      <c r="B17" s="36"/>
      <c r="C17" s="36"/>
      <c r="D17" s="36"/>
      <c r="E17" s="36"/>
      <c r="F17" s="36"/>
      <c r="G17" s="293"/>
      <c r="H17" s="36"/>
      <c r="I17" s="36"/>
      <c r="J17" s="36"/>
    </row>
    <row r="18" spans="1:10" ht="12" customHeight="1">
      <c r="A18" s="294"/>
      <c r="B18" s="36"/>
      <c r="C18" s="36"/>
      <c r="D18" s="36"/>
      <c r="E18" s="36"/>
      <c r="F18" s="36"/>
      <c r="G18" s="293"/>
      <c r="H18" s="36"/>
      <c r="I18" s="36"/>
      <c r="J18" s="36"/>
    </row>
    <row r="19" spans="1:10" ht="12.75">
      <c r="A19" s="642" t="s">
        <v>155</v>
      </c>
      <c r="B19" s="642"/>
      <c r="C19" s="642"/>
      <c r="D19" s="642"/>
      <c r="E19" s="642"/>
      <c r="F19" s="642"/>
      <c r="G19" s="642"/>
      <c r="H19" s="642"/>
      <c r="I19" s="642"/>
      <c r="J19" s="642"/>
    </row>
    <row r="20" spans="1:10" ht="12.75">
      <c r="A20" s="642" t="s">
        <v>341</v>
      </c>
      <c r="B20" s="642"/>
      <c r="C20" s="642"/>
      <c r="D20" s="642"/>
      <c r="E20" s="642"/>
      <c r="F20" s="642"/>
      <c r="G20" s="642"/>
      <c r="H20" s="642"/>
      <c r="I20" s="642"/>
      <c r="J20" s="642"/>
    </row>
    <row r="21" spans="1:10" ht="12.75">
      <c r="A21" s="295"/>
      <c r="B21" s="295"/>
      <c r="C21" s="295"/>
      <c r="D21" s="295"/>
      <c r="E21" s="295"/>
      <c r="F21" s="295"/>
      <c r="G21" s="296"/>
      <c r="H21" s="295"/>
      <c r="I21" s="295"/>
      <c r="J21" s="295"/>
    </row>
    <row r="22" spans="1:10" ht="12.75">
      <c r="A22" s="653" t="s">
        <v>154</v>
      </c>
      <c r="B22" s="654"/>
      <c r="C22" s="654"/>
      <c r="D22" s="295"/>
      <c r="E22" s="295"/>
      <c r="F22" s="295"/>
      <c r="G22" s="296"/>
      <c r="H22" s="295"/>
      <c r="I22" s="295"/>
      <c r="J22" s="295"/>
    </row>
    <row r="23" spans="1:10" ht="12.75">
      <c r="A23" s="36"/>
      <c r="B23" s="36"/>
      <c r="C23" s="36"/>
      <c r="D23" s="36"/>
      <c r="E23" s="36"/>
      <c r="F23" s="36"/>
      <c r="G23" s="293"/>
      <c r="H23" s="36"/>
      <c r="I23" s="36"/>
      <c r="J23" s="36"/>
    </row>
    <row r="24" spans="1:10" ht="12.75">
      <c r="A24" s="630" t="s">
        <v>65</v>
      </c>
      <c r="B24" s="646" t="str">
        <f>B3</f>
        <v>Jan a Ago/2015</v>
      </c>
      <c r="C24" s="647"/>
      <c r="D24" s="647"/>
      <c r="E24" s="646" t="str">
        <f>E3</f>
        <v>Jan a Ago/2014</v>
      </c>
      <c r="F24" s="647"/>
      <c r="G24" s="647"/>
      <c r="H24" s="648" t="s">
        <v>58</v>
      </c>
      <c r="I24" s="648"/>
      <c r="J24" s="649"/>
    </row>
    <row r="25" spans="1:10" ht="12.75">
      <c r="A25" s="645"/>
      <c r="B25" s="450" t="s">
        <v>1</v>
      </c>
      <c r="C25" s="447" t="s">
        <v>66</v>
      </c>
      <c r="D25" s="448" t="s">
        <v>60</v>
      </c>
      <c r="E25" s="447" t="s">
        <v>1</v>
      </c>
      <c r="F25" s="447" t="s">
        <v>66</v>
      </c>
      <c r="G25" s="446" t="s">
        <v>60</v>
      </c>
      <c r="H25" s="648" t="str">
        <f>H4</f>
        <v>(15/14)</v>
      </c>
      <c r="I25" s="648"/>
      <c r="J25" s="649"/>
    </row>
    <row r="26" spans="1:10" ht="12.75">
      <c r="A26" s="451"/>
      <c r="B26" s="452" t="s">
        <v>67</v>
      </c>
      <c r="C26" s="453" t="s">
        <v>62</v>
      </c>
      <c r="D26" s="454" t="s">
        <v>63</v>
      </c>
      <c r="E26" s="452" t="s">
        <v>67</v>
      </c>
      <c r="F26" s="453" t="s">
        <v>62</v>
      </c>
      <c r="G26" s="455" t="s">
        <v>63</v>
      </c>
      <c r="H26" s="453" t="s">
        <v>1</v>
      </c>
      <c r="I26" s="453" t="s">
        <v>59</v>
      </c>
      <c r="J26" s="456" t="s">
        <v>60</v>
      </c>
    </row>
    <row r="27" spans="1:10" ht="12.75">
      <c r="A27" s="287" t="s">
        <v>338</v>
      </c>
      <c r="B27" s="103">
        <v>1943133.804</v>
      </c>
      <c r="C27" s="103">
        <v>589909.689</v>
      </c>
      <c r="D27" s="123">
        <f aca="true" t="shared" si="2" ref="D27:D44">(B27*1000)/C27</f>
        <v>3293.95132887875</v>
      </c>
      <c r="E27" s="103">
        <v>1970220.935</v>
      </c>
      <c r="F27" s="103">
        <v>679043.636</v>
      </c>
      <c r="G27" s="123">
        <f aca="true" t="shared" si="3" ref="G27:G44">(E27*1000)/F27</f>
        <v>2901.4643986737838</v>
      </c>
      <c r="H27" s="118">
        <f aca="true" t="shared" si="4" ref="H27:H44">SUM(B27-E27)*100/E27</f>
        <v>-1.3748270825271711</v>
      </c>
      <c r="I27" s="118">
        <f aca="true" t="shared" si="5" ref="I27:I44">SUM(C27-F27)*100/F27</f>
        <v>-13.126394575325943</v>
      </c>
      <c r="J27" s="288">
        <f aca="true" t="shared" si="6" ref="J27:J44">SUM(D27-G27)*100/G27</f>
        <v>13.527201312012169</v>
      </c>
    </row>
    <row r="28" spans="1:10" ht="12.75">
      <c r="A28" s="287" t="s">
        <v>309</v>
      </c>
      <c r="B28" s="103">
        <v>782000.375</v>
      </c>
      <c r="C28" s="103">
        <v>279297.92</v>
      </c>
      <c r="D28" s="123">
        <f t="shared" si="2"/>
        <v>2799.878978690568</v>
      </c>
      <c r="E28" s="103">
        <v>785879.33</v>
      </c>
      <c r="F28" s="103">
        <v>279312.04</v>
      </c>
      <c r="G28" s="123">
        <f t="shared" si="3"/>
        <v>2813.624969406976</v>
      </c>
      <c r="H28" s="118">
        <f t="shared" si="4"/>
        <v>-0.49358150188273286</v>
      </c>
      <c r="I28" s="118">
        <f t="shared" si="5"/>
        <v>-0.005055277960805179</v>
      </c>
      <c r="J28" s="288">
        <f t="shared" si="6"/>
        <v>-0.48855092152900476</v>
      </c>
    </row>
    <row r="29" spans="1:10" ht="12.75">
      <c r="A29" s="287" t="s">
        <v>310</v>
      </c>
      <c r="B29" s="103">
        <v>288394.126</v>
      </c>
      <c r="C29" s="103">
        <v>82307.322</v>
      </c>
      <c r="D29" s="123">
        <f t="shared" si="2"/>
        <v>3503.8696314284166</v>
      </c>
      <c r="E29" s="103">
        <v>253630.547</v>
      </c>
      <c r="F29" s="103">
        <v>78420.889</v>
      </c>
      <c r="G29" s="123">
        <f t="shared" si="3"/>
        <v>3234.2217773124203</v>
      </c>
      <c r="H29" s="118">
        <f t="shared" si="4"/>
        <v>13.706384901657765</v>
      </c>
      <c r="I29" s="118">
        <f t="shared" si="5"/>
        <v>4.955864501867614</v>
      </c>
      <c r="J29" s="288">
        <f t="shared" si="6"/>
        <v>8.33733345089491</v>
      </c>
    </row>
    <row r="30" spans="1:10" ht="12.75">
      <c r="A30" s="287" t="s">
        <v>317</v>
      </c>
      <c r="B30" s="103">
        <v>98040.225</v>
      </c>
      <c r="C30" s="103">
        <v>27243.653</v>
      </c>
      <c r="D30" s="123">
        <f t="shared" si="2"/>
        <v>3598.6446090764703</v>
      </c>
      <c r="E30" s="103">
        <v>87105.085</v>
      </c>
      <c r="F30" s="103">
        <v>28981.03</v>
      </c>
      <c r="G30" s="123">
        <f t="shared" si="3"/>
        <v>3005.589690911607</v>
      </c>
      <c r="H30" s="118">
        <f t="shared" si="4"/>
        <v>12.553962836957222</v>
      </c>
      <c r="I30" s="118">
        <f t="shared" si="5"/>
        <v>-5.994876648621531</v>
      </c>
      <c r="J30" s="288">
        <f t="shared" si="6"/>
        <v>19.731732510201272</v>
      </c>
    </row>
    <row r="31" spans="1:10" ht="12.75">
      <c r="A31" s="287" t="s">
        <v>318</v>
      </c>
      <c r="B31" s="103">
        <v>75405.531</v>
      </c>
      <c r="C31" s="103">
        <v>30545.104</v>
      </c>
      <c r="D31" s="123">
        <f t="shared" si="2"/>
        <v>2468.6617861900227</v>
      </c>
      <c r="E31" s="103">
        <v>54411.681</v>
      </c>
      <c r="F31" s="103">
        <v>23448.26</v>
      </c>
      <c r="G31" s="123">
        <f t="shared" si="3"/>
        <v>2320.4997300439354</v>
      </c>
      <c r="H31" s="118">
        <f t="shared" si="4"/>
        <v>38.58335124768523</v>
      </c>
      <c r="I31" s="118">
        <f t="shared" si="5"/>
        <v>30.265972826981628</v>
      </c>
      <c r="J31" s="288">
        <f t="shared" si="6"/>
        <v>6.384920206100692</v>
      </c>
    </row>
    <row r="32" spans="1:10" ht="12.75">
      <c r="A32" s="287" t="s">
        <v>325</v>
      </c>
      <c r="B32" s="103">
        <v>54259.199</v>
      </c>
      <c r="C32" s="103">
        <v>25178.37</v>
      </c>
      <c r="D32" s="123">
        <f t="shared" si="2"/>
        <v>2154.992519372779</v>
      </c>
      <c r="E32" s="103">
        <v>73856.2</v>
      </c>
      <c r="F32" s="103">
        <v>29618.944</v>
      </c>
      <c r="G32" s="123">
        <f t="shared" si="3"/>
        <v>2493.546022437532</v>
      </c>
      <c r="H32" s="118">
        <f t="shared" si="4"/>
        <v>-26.533995791822484</v>
      </c>
      <c r="I32" s="118">
        <f t="shared" si="5"/>
        <v>-14.992344088972247</v>
      </c>
      <c r="J32" s="288">
        <f t="shared" si="6"/>
        <v>-13.57719087670195</v>
      </c>
    </row>
    <row r="33" spans="1:10" ht="12.75">
      <c r="A33" s="287" t="s">
        <v>314</v>
      </c>
      <c r="B33" s="103">
        <v>46847.553</v>
      </c>
      <c r="C33" s="103">
        <v>19603.26</v>
      </c>
      <c r="D33" s="123">
        <f>(B33*1000)/C33</f>
        <v>2389.7837910633234</v>
      </c>
      <c r="E33" s="103">
        <v>35840.726</v>
      </c>
      <c r="F33" s="103">
        <v>15868.04</v>
      </c>
      <c r="G33" s="123">
        <f>(E33*1000)/F33</f>
        <v>2258.673787058767</v>
      </c>
      <c r="H33" s="118">
        <f>SUM(B33-E33)*100/E33</f>
        <v>30.710390743758918</v>
      </c>
      <c r="I33" s="118">
        <f>SUM(C33-F33)*100/F33</f>
        <v>23.539265088820027</v>
      </c>
      <c r="J33" s="288">
        <f>SUM(D33-G33)*100/G33</f>
        <v>5.804733944129532</v>
      </c>
    </row>
    <row r="34" spans="1:10" ht="12.75">
      <c r="A34" s="287" t="s">
        <v>365</v>
      </c>
      <c r="B34" s="103">
        <v>45292.273</v>
      </c>
      <c r="C34" s="103">
        <v>15640.43</v>
      </c>
      <c r="D34" s="123">
        <f t="shared" si="2"/>
        <v>2895.8457663887757</v>
      </c>
      <c r="E34" s="103">
        <v>52941.706</v>
      </c>
      <c r="F34" s="103">
        <v>17292.377</v>
      </c>
      <c r="G34" s="123">
        <f t="shared" si="3"/>
        <v>3061.563254143719</v>
      </c>
      <c r="H34" s="118">
        <f t="shared" si="4"/>
        <v>-14.448784480046784</v>
      </c>
      <c r="I34" s="118">
        <f t="shared" si="5"/>
        <v>-9.553035999619949</v>
      </c>
      <c r="J34" s="288">
        <f t="shared" si="6"/>
        <v>-5.412838932223609</v>
      </c>
    </row>
    <row r="35" spans="1:10" ht="12.75">
      <c r="A35" s="287" t="s">
        <v>366</v>
      </c>
      <c r="B35" s="103">
        <v>44312.105</v>
      </c>
      <c r="C35" s="103">
        <v>15642.634</v>
      </c>
      <c r="D35" s="123">
        <f>(B35*1000)/C35</f>
        <v>2832.777715057451</v>
      </c>
      <c r="E35" s="103">
        <v>56267.233</v>
      </c>
      <c r="F35" s="103">
        <v>18997.399</v>
      </c>
      <c r="G35" s="123">
        <f>(E35*1000)/F35</f>
        <v>2961.838775929273</v>
      </c>
      <c r="H35" s="118">
        <f>SUM(B35-E35)*100/E35</f>
        <v>-21.24705154774538</v>
      </c>
      <c r="I35" s="118">
        <f>SUM(C35-F35)*100/F35</f>
        <v>-17.659075329206914</v>
      </c>
      <c r="J35" s="288">
        <f>SUM(D35-G35)*100/G35</f>
        <v>-4.357464083484062</v>
      </c>
    </row>
    <row r="36" spans="1:10" ht="12.75">
      <c r="A36" s="287" t="s">
        <v>336</v>
      </c>
      <c r="B36" s="103">
        <v>42382.634</v>
      </c>
      <c r="C36" s="103">
        <v>11562.525</v>
      </c>
      <c r="D36" s="123">
        <f>(B36*1000)/C36</f>
        <v>3665.5171772601575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307">
        <v>0</v>
      </c>
    </row>
    <row r="37" spans="1:10" ht="12.75">
      <c r="A37" s="287" t="s">
        <v>334</v>
      </c>
      <c r="B37" s="103">
        <v>39156.65</v>
      </c>
      <c r="C37" s="103">
        <v>16191.895</v>
      </c>
      <c r="D37" s="123">
        <f t="shared" si="2"/>
        <v>2418.287050403921</v>
      </c>
      <c r="E37" s="103">
        <v>33921.012</v>
      </c>
      <c r="F37" s="103">
        <v>16807.8</v>
      </c>
      <c r="G37" s="123">
        <f t="shared" si="3"/>
        <v>2018.1708492485632</v>
      </c>
      <c r="H37" s="118">
        <f t="shared" si="4"/>
        <v>15.434793042141546</v>
      </c>
      <c r="I37" s="118">
        <f t="shared" si="5"/>
        <v>-3.664399861968841</v>
      </c>
      <c r="J37" s="288">
        <f t="shared" si="6"/>
        <v>19.825685288454906</v>
      </c>
    </row>
    <row r="38" spans="1:10" ht="12.75">
      <c r="A38" s="287" t="s">
        <v>335</v>
      </c>
      <c r="B38" s="103">
        <v>28816.146</v>
      </c>
      <c r="C38" s="103">
        <v>9410.8</v>
      </c>
      <c r="D38" s="123">
        <f t="shared" si="2"/>
        <v>3062.0293705104777</v>
      </c>
      <c r="E38" s="103">
        <v>30787.314</v>
      </c>
      <c r="F38" s="103">
        <v>9396.84</v>
      </c>
      <c r="G38" s="123">
        <f t="shared" si="3"/>
        <v>3276.347580676057</v>
      </c>
      <c r="H38" s="118">
        <f t="shared" si="4"/>
        <v>-6.402533199226142</v>
      </c>
      <c r="I38" s="118">
        <f t="shared" si="5"/>
        <v>0.14856057993962998</v>
      </c>
      <c r="J38" s="288">
        <f t="shared" si="6"/>
        <v>-6.54137587323247</v>
      </c>
    </row>
    <row r="39" spans="1:10" ht="12.75">
      <c r="A39" s="287" t="s">
        <v>337</v>
      </c>
      <c r="B39" s="103">
        <v>27451.416</v>
      </c>
      <c r="C39" s="103">
        <v>8306.815</v>
      </c>
      <c r="D39" s="123">
        <f t="shared" si="2"/>
        <v>3304.6860920822237</v>
      </c>
      <c r="E39" s="103">
        <v>28696.905</v>
      </c>
      <c r="F39" s="103">
        <v>7789.42</v>
      </c>
      <c r="G39" s="123">
        <f t="shared" si="3"/>
        <v>3684.0875187112774</v>
      </c>
      <c r="H39" s="118">
        <f t="shared" si="4"/>
        <v>-4.340150967499798</v>
      </c>
      <c r="I39" s="118">
        <f t="shared" si="5"/>
        <v>6.642278885976111</v>
      </c>
      <c r="J39" s="288">
        <f t="shared" si="6"/>
        <v>-10.298382562903157</v>
      </c>
    </row>
    <row r="40" spans="1:10" ht="12.75">
      <c r="A40" s="287" t="s">
        <v>364</v>
      </c>
      <c r="B40" s="103">
        <v>21649.335</v>
      </c>
      <c r="C40" s="103">
        <v>9305.746</v>
      </c>
      <c r="D40" s="123">
        <f>(B40*1000)/C40</f>
        <v>2326.448089169853</v>
      </c>
      <c r="E40" s="103">
        <v>25582.246</v>
      </c>
      <c r="F40" s="103">
        <v>12093.6</v>
      </c>
      <c r="G40" s="123">
        <f>(E40*1000)/F40</f>
        <v>2115.354071575048</v>
      </c>
      <c r="H40" s="118">
        <f>SUM(B40-E40)*100/E40</f>
        <v>-15.373595422387854</v>
      </c>
      <c r="I40" s="118">
        <f>SUM(C40-F40)*100/F40</f>
        <v>-23.052308659125497</v>
      </c>
      <c r="J40" s="288">
        <f>SUM(D40-G40)*100/G40</f>
        <v>9.979134010299713</v>
      </c>
    </row>
    <row r="41" spans="1:10" ht="12.75">
      <c r="A41" s="287" t="s">
        <v>315</v>
      </c>
      <c r="B41" s="103">
        <v>17916.576</v>
      </c>
      <c r="C41" s="103">
        <v>7827.92</v>
      </c>
      <c r="D41" s="123">
        <f t="shared" si="2"/>
        <v>2288.8041778658953</v>
      </c>
      <c r="E41" s="103">
        <v>12973.469</v>
      </c>
      <c r="F41" s="103">
        <v>5970.03</v>
      </c>
      <c r="G41" s="123">
        <f t="shared" si="3"/>
        <v>2173.0994651618166</v>
      </c>
      <c r="H41" s="118">
        <f t="shared" si="4"/>
        <v>38.10165962550188</v>
      </c>
      <c r="I41" s="118">
        <f t="shared" si="5"/>
        <v>31.12027912757558</v>
      </c>
      <c r="J41" s="288">
        <f t="shared" si="6"/>
        <v>5.324409423452825</v>
      </c>
    </row>
    <row r="42" spans="1:10" ht="12.75">
      <c r="A42" s="297" t="s">
        <v>15</v>
      </c>
      <c r="B42" s="124">
        <f>SUM(B27:B41)</f>
        <v>3555057.9480000003</v>
      </c>
      <c r="C42" s="124">
        <f>SUM(C27:C41)</f>
        <v>1147974.0829999999</v>
      </c>
      <c r="D42" s="125">
        <f t="shared" si="2"/>
        <v>3096.810285742314</v>
      </c>
      <c r="E42" s="124">
        <f>SUM(E27:E41)</f>
        <v>3502114.388999999</v>
      </c>
      <c r="F42" s="124">
        <f>SUM(F27:F41)</f>
        <v>1223040.3050000002</v>
      </c>
      <c r="G42" s="125">
        <f t="shared" si="3"/>
        <v>2863.449695551937</v>
      </c>
      <c r="H42" s="126">
        <f t="shared" si="4"/>
        <v>1.5117598433190784</v>
      </c>
      <c r="I42" s="126">
        <f t="shared" si="5"/>
        <v>-6.1376736067582245</v>
      </c>
      <c r="J42" s="298">
        <f t="shared" si="6"/>
        <v>8.149631214156749</v>
      </c>
    </row>
    <row r="43" spans="1:10" ht="12.75">
      <c r="A43" s="299" t="s">
        <v>228</v>
      </c>
      <c r="B43" s="122">
        <f>B44-B42</f>
        <v>130573.05199999968</v>
      </c>
      <c r="C43" s="122">
        <f>C44-C42</f>
        <v>117985.9750000001</v>
      </c>
      <c r="D43" s="123">
        <f t="shared" si="2"/>
        <v>1106.6828239542842</v>
      </c>
      <c r="E43" s="122">
        <f>E44-E42</f>
        <v>144080.61100000096</v>
      </c>
      <c r="F43" s="122">
        <f>F44-F42</f>
        <v>57492.289999999804</v>
      </c>
      <c r="G43" s="123">
        <f t="shared" si="3"/>
        <v>2506.0857899381194</v>
      </c>
      <c r="H43" s="118">
        <f t="shared" si="4"/>
        <v>-9.375001192909432</v>
      </c>
      <c r="I43" s="118">
        <f t="shared" si="5"/>
        <v>105.22051739459411</v>
      </c>
      <c r="J43" s="288">
        <f t="shared" si="6"/>
        <v>-55.84018598255527</v>
      </c>
    </row>
    <row r="44" spans="1:10" ht="12.75">
      <c r="A44" s="300" t="s">
        <v>68</v>
      </c>
      <c r="B44" s="127">
        <f>B6</f>
        <v>3685631</v>
      </c>
      <c r="C44" s="128">
        <f>C6</f>
        <v>1265960.058</v>
      </c>
      <c r="D44" s="129">
        <f t="shared" si="2"/>
        <v>2911.3327681306673</v>
      </c>
      <c r="E44" s="128">
        <f>E6</f>
        <v>3646195</v>
      </c>
      <c r="F44" s="128">
        <f>F6</f>
        <v>1280532.595</v>
      </c>
      <c r="G44" s="129">
        <f t="shared" si="3"/>
        <v>2847.405067420404</v>
      </c>
      <c r="H44" s="121">
        <f t="shared" si="4"/>
        <v>1.0815658515246716</v>
      </c>
      <c r="I44" s="121">
        <f t="shared" si="5"/>
        <v>-1.1380059404110687</v>
      </c>
      <c r="J44" s="301">
        <f t="shared" si="6"/>
        <v>2.2451214069158874</v>
      </c>
    </row>
    <row r="45" spans="1:10" ht="12" customHeight="1">
      <c r="A45" s="292" t="s">
        <v>147</v>
      </c>
      <c r="B45" s="36"/>
      <c r="C45" s="36"/>
      <c r="D45" s="36"/>
      <c r="E45" s="36"/>
      <c r="F45" s="36"/>
      <c r="G45" s="293"/>
      <c r="H45" s="36"/>
      <c r="I45" s="36"/>
      <c r="J45" s="36"/>
    </row>
    <row r="46" spans="1:10" ht="12.75">
      <c r="A46" s="642" t="s">
        <v>69</v>
      </c>
      <c r="B46" s="642"/>
      <c r="C46" s="642"/>
      <c r="D46" s="642"/>
      <c r="E46" s="642"/>
      <c r="F46" s="642"/>
      <c r="G46" s="642"/>
      <c r="H46" s="642"/>
      <c r="I46" s="642"/>
      <c r="J46" s="642"/>
    </row>
    <row r="47" spans="1:10" ht="12.75">
      <c r="A47" s="642" t="s">
        <v>341</v>
      </c>
      <c r="B47" s="642"/>
      <c r="C47" s="642"/>
      <c r="D47" s="642"/>
      <c r="E47" s="642"/>
      <c r="F47" s="642"/>
      <c r="G47" s="642"/>
      <c r="H47" s="642"/>
      <c r="I47" s="642"/>
      <c r="J47" s="642"/>
    </row>
    <row r="48" spans="1:10" ht="12.75">
      <c r="A48" s="295"/>
      <c r="B48" s="295"/>
      <c r="C48" s="295"/>
      <c r="D48" s="295"/>
      <c r="E48" s="295"/>
      <c r="F48" s="295"/>
      <c r="G48" s="296"/>
      <c r="H48" s="295"/>
      <c r="I48" s="295"/>
      <c r="J48" s="295"/>
    </row>
    <row r="49" spans="1:10" ht="12.75">
      <c r="A49" s="653" t="s">
        <v>70</v>
      </c>
      <c r="B49" s="654"/>
      <c r="C49" s="654"/>
      <c r="D49" s="295"/>
      <c r="E49" s="295"/>
      <c r="F49" s="295"/>
      <c r="G49" s="296"/>
      <c r="H49" s="295"/>
      <c r="I49" s="295"/>
      <c r="J49" s="295"/>
    </row>
    <row r="50" spans="1:10" ht="12.75">
      <c r="A50" s="36"/>
      <c r="B50" s="36"/>
      <c r="C50" s="36"/>
      <c r="D50" s="36"/>
      <c r="E50" s="36"/>
      <c r="F50" s="36"/>
      <c r="G50" s="293"/>
      <c r="H50" s="36"/>
      <c r="I50" s="36"/>
      <c r="J50" s="36"/>
    </row>
    <row r="51" spans="1:10" ht="12.75">
      <c r="A51" s="630" t="s">
        <v>65</v>
      </c>
      <c r="B51" s="646" t="str">
        <f>B3</f>
        <v>Jan a Ago/2015</v>
      </c>
      <c r="C51" s="647"/>
      <c r="D51" s="647"/>
      <c r="E51" s="646" t="str">
        <f>E3</f>
        <v>Jan a Ago/2014</v>
      </c>
      <c r="F51" s="647"/>
      <c r="G51" s="647"/>
      <c r="H51" s="648" t="s">
        <v>58</v>
      </c>
      <c r="I51" s="648"/>
      <c r="J51" s="649"/>
    </row>
    <row r="52" spans="1:10" ht="12.75">
      <c r="A52" s="645"/>
      <c r="B52" s="450" t="s">
        <v>1</v>
      </c>
      <c r="C52" s="447" t="s">
        <v>66</v>
      </c>
      <c r="D52" s="448" t="s">
        <v>60</v>
      </c>
      <c r="E52" s="447" t="s">
        <v>1</v>
      </c>
      <c r="F52" s="447" t="s">
        <v>66</v>
      </c>
      <c r="G52" s="446" t="s">
        <v>60</v>
      </c>
      <c r="H52" s="648" t="str">
        <f>H4</f>
        <v>(15/14)</v>
      </c>
      <c r="I52" s="648"/>
      <c r="J52" s="649"/>
    </row>
    <row r="53" spans="1:10" ht="12.75">
      <c r="A53" s="451"/>
      <c r="B53" s="450" t="s">
        <v>67</v>
      </c>
      <c r="C53" s="447" t="s">
        <v>62</v>
      </c>
      <c r="D53" s="448" t="s">
        <v>63</v>
      </c>
      <c r="E53" s="447" t="s">
        <v>67</v>
      </c>
      <c r="F53" s="447" t="s">
        <v>62</v>
      </c>
      <c r="G53" s="446" t="s">
        <v>63</v>
      </c>
      <c r="H53" s="447" t="s">
        <v>1</v>
      </c>
      <c r="I53" s="447" t="s">
        <v>59</v>
      </c>
      <c r="J53" s="449" t="s">
        <v>60</v>
      </c>
    </row>
    <row r="54" spans="1:10" ht="12.75">
      <c r="A54" s="287" t="s">
        <v>338</v>
      </c>
      <c r="B54" s="103">
        <v>66092.535</v>
      </c>
      <c r="C54" s="103">
        <v>8877.306</v>
      </c>
      <c r="D54" s="123">
        <f aca="true" t="shared" si="7" ref="D54:D71">(B54*1000)/C54</f>
        <v>7445.11172646296</v>
      </c>
      <c r="E54" s="103">
        <v>57019.873</v>
      </c>
      <c r="F54" s="103">
        <v>7704.34</v>
      </c>
      <c r="G54" s="123">
        <f aca="true" t="shared" si="8" ref="G54:G71">(E54*1000)/F54</f>
        <v>7401.006835108523</v>
      </c>
      <c r="H54" s="118">
        <f aca="true" t="shared" si="9" ref="H54:H71">SUM(B54-E54)*100/E54</f>
        <v>15.911403380361799</v>
      </c>
      <c r="I54" s="118">
        <f aca="true" t="shared" si="10" ref="I54:I71">SUM(C54-F54)*100/F54</f>
        <v>15.224743456285681</v>
      </c>
      <c r="J54" s="288">
        <f aca="true" t="shared" si="11" ref="J54:J71">SUM(D54-G54)*100/G54</f>
        <v>0.5959309636793572</v>
      </c>
    </row>
    <row r="55" spans="1:10" ht="12.75">
      <c r="A55" s="287" t="s">
        <v>309</v>
      </c>
      <c r="B55" s="103">
        <v>61276.682</v>
      </c>
      <c r="C55" s="103">
        <v>9380.47</v>
      </c>
      <c r="D55" s="123">
        <f t="shared" si="7"/>
        <v>6532.367994354228</v>
      </c>
      <c r="E55" s="103">
        <v>65541.098</v>
      </c>
      <c r="F55" s="103">
        <v>9651.266</v>
      </c>
      <c r="G55" s="123">
        <f t="shared" si="8"/>
        <v>6790.932712868965</v>
      </c>
      <c r="H55" s="118">
        <f t="shared" si="9"/>
        <v>-6.506476287595911</v>
      </c>
      <c r="I55" s="118">
        <f t="shared" si="10"/>
        <v>-2.8058080670453003</v>
      </c>
      <c r="J55" s="288">
        <f t="shared" si="11"/>
        <v>-3.807499344305836</v>
      </c>
    </row>
    <row r="56" spans="1:10" ht="12.75">
      <c r="A56" s="287" t="s">
        <v>366</v>
      </c>
      <c r="B56" s="103">
        <v>43257.533</v>
      </c>
      <c r="C56" s="103">
        <v>5973.456</v>
      </c>
      <c r="D56" s="123">
        <f t="shared" si="7"/>
        <v>7241.625785809755</v>
      </c>
      <c r="E56" s="103">
        <v>41046.644</v>
      </c>
      <c r="F56" s="103">
        <v>5465.974</v>
      </c>
      <c r="G56" s="123">
        <f t="shared" si="8"/>
        <v>7509.483945587739</v>
      </c>
      <c r="H56" s="118">
        <f t="shared" si="9"/>
        <v>5.386284442645306</v>
      </c>
      <c r="I56" s="118">
        <f t="shared" si="10"/>
        <v>9.284383716424555</v>
      </c>
      <c r="J56" s="288">
        <f t="shared" si="11"/>
        <v>-3.5669316522790657</v>
      </c>
    </row>
    <row r="57" spans="1:10" ht="12.75">
      <c r="A57" s="287" t="s">
        <v>310</v>
      </c>
      <c r="B57" s="103">
        <v>24829.544</v>
      </c>
      <c r="C57" s="103">
        <v>3387.842</v>
      </c>
      <c r="D57" s="123">
        <f t="shared" si="7"/>
        <v>7329.014753344459</v>
      </c>
      <c r="E57" s="103">
        <v>24828.149</v>
      </c>
      <c r="F57" s="103">
        <v>3349.092</v>
      </c>
      <c r="G57" s="123">
        <f t="shared" si="8"/>
        <v>7413.3971237577225</v>
      </c>
      <c r="H57" s="118">
        <f t="shared" si="9"/>
        <v>0.005618622636751683</v>
      </c>
      <c r="I57" s="118">
        <f t="shared" si="10"/>
        <v>1.1570300248544978</v>
      </c>
      <c r="J57" s="288">
        <f t="shared" si="11"/>
        <v>-1.138241605091456</v>
      </c>
    </row>
    <row r="58" spans="1:10" ht="12.75">
      <c r="A58" s="287" t="s">
        <v>313</v>
      </c>
      <c r="B58" s="103">
        <v>19966.198</v>
      </c>
      <c r="C58" s="103">
        <v>3078.78</v>
      </c>
      <c r="D58" s="123">
        <f t="shared" si="7"/>
        <v>6485.100591792852</v>
      </c>
      <c r="E58" s="103">
        <v>10307.547</v>
      </c>
      <c r="F58" s="103">
        <v>1845.5</v>
      </c>
      <c r="G58" s="123">
        <f t="shared" si="8"/>
        <v>5585.2327282579245</v>
      </c>
      <c r="H58" s="118">
        <f t="shared" si="9"/>
        <v>93.70465155288643</v>
      </c>
      <c r="I58" s="118">
        <f t="shared" si="10"/>
        <v>66.82633432674074</v>
      </c>
      <c r="J58" s="288">
        <f t="shared" si="11"/>
        <v>16.11155536961131</v>
      </c>
    </row>
    <row r="59" spans="1:10" ht="12.75">
      <c r="A59" s="287" t="s">
        <v>311</v>
      </c>
      <c r="B59" s="103">
        <v>16988.296</v>
      </c>
      <c r="C59" s="103">
        <v>2731.096</v>
      </c>
      <c r="D59" s="123">
        <f t="shared" si="7"/>
        <v>6220.321804872476</v>
      </c>
      <c r="E59" s="103">
        <v>24171.845</v>
      </c>
      <c r="F59" s="103">
        <v>3438.498</v>
      </c>
      <c r="G59" s="123">
        <f t="shared" si="8"/>
        <v>7029.768521022842</v>
      </c>
      <c r="H59" s="118">
        <f t="shared" si="9"/>
        <v>-29.718662352832407</v>
      </c>
      <c r="I59" s="118">
        <f t="shared" si="10"/>
        <v>-20.5729943713796</v>
      </c>
      <c r="J59" s="288">
        <f t="shared" si="11"/>
        <v>-11.51455718249725</v>
      </c>
    </row>
    <row r="60" spans="1:10" ht="12.75">
      <c r="A60" s="287" t="s">
        <v>317</v>
      </c>
      <c r="B60" s="103">
        <v>12164.578</v>
      </c>
      <c r="C60" s="103">
        <v>1471.312</v>
      </c>
      <c r="D60" s="123">
        <f>(B60*1000)/C60</f>
        <v>8267.84393792751</v>
      </c>
      <c r="E60" s="103">
        <v>17865.683</v>
      </c>
      <c r="F60" s="103">
        <v>2187.406</v>
      </c>
      <c r="G60" s="123">
        <f>(E60*1000)/F60</f>
        <v>8167.52034144553</v>
      </c>
      <c r="H60" s="118">
        <f aca="true" t="shared" si="12" ref="H60:J62">SUM(B60-E60)*100/E60</f>
        <v>-31.910926663145208</v>
      </c>
      <c r="I60" s="118">
        <f t="shared" si="12"/>
        <v>-32.737132475635526</v>
      </c>
      <c r="J60" s="288">
        <f t="shared" si="12"/>
        <v>1.228323803160848</v>
      </c>
    </row>
    <row r="61" spans="1:10" ht="12.75">
      <c r="A61" s="287" t="s">
        <v>316</v>
      </c>
      <c r="B61" s="103">
        <v>11283.833</v>
      </c>
      <c r="C61" s="103">
        <v>1564.852</v>
      </c>
      <c r="D61" s="123">
        <f>(B61*1000)/C61</f>
        <v>7210.798848709015</v>
      </c>
      <c r="E61" s="103">
        <v>7471.255</v>
      </c>
      <c r="F61" s="103">
        <v>1164.89</v>
      </c>
      <c r="G61" s="123">
        <f>(E61*1000)/F61</f>
        <v>6413.7000060091505</v>
      </c>
      <c r="H61" s="118">
        <f t="shared" si="12"/>
        <v>51.02995413755789</v>
      </c>
      <c r="I61" s="118">
        <f t="shared" si="12"/>
        <v>34.33474405308655</v>
      </c>
      <c r="J61" s="288">
        <f t="shared" si="12"/>
        <v>12.428065577639172</v>
      </c>
    </row>
    <row r="62" spans="1:10" s="130" customFormat="1" ht="12.75">
      <c r="A62" s="287" t="s">
        <v>314</v>
      </c>
      <c r="B62" s="103">
        <v>10739.488</v>
      </c>
      <c r="C62" s="103">
        <v>1631.97</v>
      </c>
      <c r="D62" s="123">
        <f>(B62*1000)/C62</f>
        <v>6580.689596009731</v>
      </c>
      <c r="E62" s="103">
        <v>9863.497</v>
      </c>
      <c r="F62" s="103">
        <v>1602.725</v>
      </c>
      <c r="G62" s="123">
        <f>(E62*1000)/F62</f>
        <v>6154.204245893713</v>
      </c>
      <c r="H62" s="118">
        <f t="shared" si="12"/>
        <v>8.881140228460556</v>
      </c>
      <c r="I62" s="118">
        <f t="shared" si="12"/>
        <v>1.8247047996381238</v>
      </c>
      <c r="J62" s="288">
        <f t="shared" si="12"/>
        <v>6.929983683927663</v>
      </c>
    </row>
    <row r="63" spans="1:10" s="130" customFormat="1" ht="12.75">
      <c r="A63" s="287" t="s">
        <v>312</v>
      </c>
      <c r="B63" s="103">
        <v>9789.734</v>
      </c>
      <c r="C63" s="103">
        <v>1138.778</v>
      </c>
      <c r="D63" s="123">
        <f t="shared" si="7"/>
        <v>8596.70102513396</v>
      </c>
      <c r="E63" s="103">
        <v>7309.951</v>
      </c>
      <c r="F63" s="103">
        <v>789.751</v>
      </c>
      <c r="G63" s="123">
        <f t="shared" si="8"/>
        <v>9256.01993539736</v>
      </c>
      <c r="H63" s="118">
        <f t="shared" si="9"/>
        <v>33.92338744815116</v>
      </c>
      <c r="I63" s="118">
        <f t="shared" si="10"/>
        <v>44.1945625899809</v>
      </c>
      <c r="J63" s="288">
        <f t="shared" si="11"/>
        <v>-7.123136238525138</v>
      </c>
    </row>
    <row r="64" spans="1:10" ht="12.75">
      <c r="A64" s="287" t="s">
        <v>324</v>
      </c>
      <c r="B64" s="103">
        <v>7451.521</v>
      </c>
      <c r="C64" s="103">
        <v>910.761</v>
      </c>
      <c r="D64" s="123">
        <f t="shared" si="7"/>
        <v>8181.642604371509</v>
      </c>
      <c r="E64" s="103">
        <v>5855.417</v>
      </c>
      <c r="F64" s="103">
        <v>746.289</v>
      </c>
      <c r="G64" s="123">
        <f t="shared" si="8"/>
        <v>7846.044896816113</v>
      </c>
      <c r="H64" s="118">
        <f t="shared" si="9"/>
        <v>27.258588073232005</v>
      </c>
      <c r="I64" s="118">
        <f t="shared" si="10"/>
        <v>22.038647226476602</v>
      </c>
      <c r="J64" s="288">
        <f t="shared" si="11"/>
        <v>4.277285077626568</v>
      </c>
    </row>
    <row r="65" spans="1:10" s="130" customFormat="1" ht="12.75">
      <c r="A65" s="287" t="s">
        <v>331</v>
      </c>
      <c r="B65" s="103">
        <v>6922.201</v>
      </c>
      <c r="C65" s="103">
        <v>697.423</v>
      </c>
      <c r="D65" s="123">
        <f>(B65*1000)/C65</f>
        <v>9925.398216003774</v>
      </c>
      <c r="E65" s="103">
        <v>4592.706</v>
      </c>
      <c r="F65" s="103">
        <v>497.502</v>
      </c>
      <c r="G65" s="123">
        <f>(E65*1000)/F65</f>
        <v>9231.532737556834</v>
      </c>
      <c r="H65" s="118">
        <f>SUM(B65-E65)*100/E65</f>
        <v>50.72162250316045</v>
      </c>
      <c r="I65" s="118">
        <f>SUM(C65-F65)*100/F65</f>
        <v>40.18496408054641</v>
      </c>
      <c r="J65" s="288">
        <f>SUM(D65-G65)*100/G65</f>
        <v>7.516254322795962</v>
      </c>
    </row>
    <row r="66" spans="1:10" ht="12.75">
      <c r="A66" s="287" t="s">
        <v>349</v>
      </c>
      <c r="B66" s="103">
        <v>6610.302</v>
      </c>
      <c r="C66" s="103">
        <v>1135.85</v>
      </c>
      <c r="D66" s="123">
        <f t="shared" si="7"/>
        <v>5819.696262710746</v>
      </c>
      <c r="E66" s="103">
        <v>7888.874</v>
      </c>
      <c r="F66" s="103">
        <v>1290.5</v>
      </c>
      <c r="G66" s="123">
        <f t="shared" si="8"/>
        <v>6113.036807438977</v>
      </c>
      <c r="H66" s="118">
        <f t="shared" si="9"/>
        <v>-16.2072812926154</v>
      </c>
      <c r="I66" s="118">
        <f t="shared" si="10"/>
        <v>-11.98372723750485</v>
      </c>
      <c r="J66" s="288">
        <f t="shared" si="11"/>
        <v>-4.798605897011187</v>
      </c>
    </row>
    <row r="67" spans="1:10" s="130" customFormat="1" ht="12.75">
      <c r="A67" s="287" t="s">
        <v>332</v>
      </c>
      <c r="B67" s="103">
        <v>6405.824</v>
      </c>
      <c r="C67" s="103">
        <v>932.697</v>
      </c>
      <c r="D67" s="123">
        <f>(B67*1000)/C67</f>
        <v>6868.065406021463</v>
      </c>
      <c r="E67" s="103">
        <v>8022.578</v>
      </c>
      <c r="F67" s="103">
        <v>1177.5</v>
      </c>
      <c r="G67" s="123">
        <f>(E67*1000)/F67</f>
        <v>6813.229723991508</v>
      </c>
      <c r="H67" s="118">
        <f>SUM(B67-E67)*100/E67</f>
        <v>-20.152549467266017</v>
      </c>
      <c r="I67" s="118">
        <f>SUM(C67-F67)*100/F67</f>
        <v>-20.790063694267516</v>
      </c>
      <c r="J67" s="288">
        <f>SUM(D67-G67)*100/G67</f>
        <v>0.8048412317122007</v>
      </c>
    </row>
    <row r="68" spans="1:10" ht="12.75">
      <c r="A68" s="287" t="s">
        <v>315</v>
      </c>
      <c r="B68" s="103">
        <v>5630.833</v>
      </c>
      <c r="C68" s="103">
        <v>563.428</v>
      </c>
      <c r="D68" s="123">
        <f t="shared" si="7"/>
        <v>9993.882093186707</v>
      </c>
      <c r="E68" s="103">
        <v>13256.842</v>
      </c>
      <c r="F68" s="103">
        <v>1639.019</v>
      </c>
      <c r="G68" s="123">
        <f t="shared" si="8"/>
        <v>8088.278415320384</v>
      </c>
      <c r="H68" s="118">
        <f t="shared" si="9"/>
        <v>-57.525080256670485</v>
      </c>
      <c r="I68" s="118">
        <f t="shared" si="10"/>
        <v>-65.62407147202076</v>
      </c>
      <c r="J68" s="288">
        <f t="shared" si="11"/>
        <v>23.560065319423607</v>
      </c>
    </row>
    <row r="69" spans="1:10" ht="12.75">
      <c r="A69" s="302" t="s">
        <v>15</v>
      </c>
      <c r="B69" s="124">
        <f>SUM(B54:B68)</f>
        <v>309409.1020000001</v>
      </c>
      <c r="C69" s="124">
        <f>SUM(C54:C68)</f>
        <v>43476.02099999999</v>
      </c>
      <c r="D69" s="125">
        <f t="shared" si="7"/>
        <v>7116.775980948213</v>
      </c>
      <c r="E69" s="124">
        <f>SUM(E54:E68)</f>
        <v>305041.959</v>
      </c>
      <c r="F69" s="124">
        <f>SUM(F54:F68)</f>
        <v>42550.25199999999</v>
      </c>
      <c r="G69" s="125">
        <f t="shared" si="8"/>
        <v>7168.981255387161</v>
      </c>
      <c r="H69" s="126">
        <f t="shared" si="9"/>
        <v>1.431653210698171</v>
      </c>
      <c r="I69" s="126">
        <f t="shared" si="10"/>
        <v>2.1757074435187844</v>
      </c>
      <c r="J69" s="298">
        <f t="shared" si="11"/>
        <v>-0.7282105027087029</v>
      </c>
    </row>
    <row r="70" spans="1:10" ht="12.75">
      <c r="A70" s="299" t="s">
        <v>228</v>
      </c>
      <c r="B70" s="122">
        <f>B71-B69</f>
        <v>71398.96299999993</v>
      </c>
      <c r="C70" s="122">
        <f>C71-C69</f>
        <v>8617.321000000004</v>
      </c>
      <c r="D70" s="123">
        <f t="shared" si="7"/>
        <v>8285.517389917342</v>
      </c>
      <c r="E70" s="122">
        <f>E71-E69</f>
        <v>68366.04100000003</v>
      </c>
      <c r="F70" s="122">
        <f>F71-F69</f>
        <v>8063.340000000004</v>
      </c>
      <c r="G70" s="123">
        <f t="shared" si="8"/>
        <v>8478.625606758489</v>
      </c>
      <c r="H70" s="118">
        <f t="shared" si="9"/>
        <v>4.436299009913274</v>
      </c>
      <c r="I70" s="118">
        <f t="shared" si="10"/>
        <v>6.870366374232012</v>
      </c>
      <c r="J70" s="288">
        <f t="shared" si="11"/>
        <v>-2.2775886776651175</v>
      </c>
    </row>
    <row r="71" spans="1:10" ht="12.75">
      <c r="A71" s="300" t="s">
        <v>68</v>
      </c>
      <c r="B71" s="127">
        <f>B7</f>
        <v>380808.065</v>
      </c>
      <c r="C71" s="128">
        <f>C7</f>
        <v>52093.342</v>
      </c>
      <c r="D71" s="129">
        <f t="shared" si="7"/>
        <v>7310.110090460313</v>
      </c>
      <c r="E71" s="128">
        <f>E7</f>
        <v>373408</v>
      </c>
      <c r="F71" s="128">
        <f>F7</f>
        <v>50613.592</v>
      </c>
      <c r="G71" s="129">
        <f t="shared" si="8"/>
        <v>7377.622991073228</v>
      </c>
      <c r="H71" s="121">
        <f t="shared" si="9"/>
        <v>1.9817639150741286</v>
      </c>
      <c r="I71" s="121">
        <f t="shared" si="10"/>
        <v>2.9236217812796217</v>
      </c>
      <c r="J71" s="301">
        <f t="shared" si="11"/>
        <v>-0.9151036952498751</v>
      </c>
    </row>
    <row r="72" spans="1:10" ht="12.75">
      <c r="A72" s="292" t="s">
        <v>147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641" t="s">
        <v>224</v>
      </c>
      <c r="B73" s="641"/>
      <c r="C73" s="641"/>
      <c r="D73" s="641"/>
      <c r="E73" s="641"/>
      <c r="F73" s="641"/>
      <c r="G73" s="641"/>
      <c r="H73" s="641"/>
      <c r="I73" s="641"/>
      <c r="J73" s="641"/>
    </row>
    <row r="74" spans="1:10" ht="12.75">
      <c r="A74" s="642" t="s">
        <v>341</v>
      </c>
      <c r="B74" s="642"/>
      <c r="C74" s="642"/>
      <c r="D74" s="642"/>
      <c r="E74" s="642"/>
      <c r="F74" s="642"/>
      <c r="G74" s="642"/>
      <c r="H74" s="642"/>
      <c r="I74" s="642"/>
      <c r="J74" s="642"/>
    </row>
    <row r="75" spans="1:10" ht="12.75">
      <c r="A75" s="303"/>
      <c r="B75" s="303"/>
      <c r="C75" s="303"/>
      <c r="D75" s="303"/>
      <c r="E75" s="303"/>
      <c r="F75" s="303"/>
      <c r="G75" s="303"/>
      <c r="H75" s="303"/>
      <c r="I75" s="303"/>
      <c r="J75" s="303"/>
    </row>
    <row r="76" spans="1:10" ht="12.75">
      <c r="A76" s="643" t="s">
        <v>146</v>
      </c>
      <c r="B76" s="644"/>
      <c r="C76" s="644"/>
      <c r="D76" s="304"/>
      <c r="E76" s="304"/>
      <c r="F76" s="304"/>
      <c r="G76" s="304"/>
      <c r="H76" s="304"/>
      <c r="I76" s="304"/>
      <c r="J76" s="304"/>
    </row>
    <row r="77" spans="1:10" ht="12.75">
      <c r="A77" s="36"/>
      <c r="B77" s="36"/>
      <c r="C77" s="36"/>
      <c r="D77" s="36"/>
      <c r="E77" s="36"/>
      <c r="F77" s="36"/>
      <c r="G77" s="293"/>
      <c r="H77" s="36"/>
      <c r="I77" s="36"/>
      <c r="J77" s="36"/>
    </row>
    <row r="78" spans="1:10" ht="12.75">
      <c r="A78" s="630" t="s">
        <v>65</v>
      </c>
      <c r="B78" s="650" t="str">
        <f>B3</f>
        <v>Jan a Ago/2015</v>
      </c>
      <c r="C78" s="651"/>
      <c r="D78" s="652"/>
      <c r="E78" s="650" t="str">
        <f>E3</f>
        <v>Jan a Ago/2014</v>
      </c>
      <c r="F78" s="651"/>
      <c r="G78" s="652"/>
      <c r="H78" s="648" t="s">
        <v>58</v>
      </c>
      <c r="I78" s="648"/>
      <c r="J78" s="649"/>
    </row>
    <row r="79" spans="1:10" ht="12.75">
      <c r="A79" s="645"/>
      <c r="B79" s="450" t="s">
        <v>1</v>
      </c>
      <c r="C79" s="447" t="s">
        <v>66</v>
      </c>
      <c r="D79" s="448" t="s">
        <v>60</v>
      </c>
      <c r="E79" s="447" t="s">
        <v>1</v>
      </c>
      <c r="F79" s="447" t="s">
        <v>66</v>
      </c>
      <c r="G79" s="446" t="s">
        <v>60</v>
      </c>
      <c r="H79" s="648" t="str">
        <f>H4</f>
        <v>(15/14)</v>
      </c>
      <c r="I79" s="648"/>
      <c r="J79" s="649"/>
    </row>
    <row r="80" spans="1:10" ht="12.75">
      <c r="A80" s="451"/>
      <c r="B80" s="450" t="s">
        <v>67</v>
      </c>
      <c r="C80" s="447" t="s">
        <v>62</v>
      </c>
      <c r="D80" s="448" t="s">
        <v>63</v>
      </c>
      <c r="E80" s="447" t="s">
        <v>67</v>
      </c>
      <c r="F80" s="447" t="s">
        <v>62</v>
      </c>
      <c r="G80" s="446" t="s">
        <v>63</v>
      </c>
      <c r="H80" s="447" t="s">
        <v>1</v>
      </c>
      <c r="I80" s="447" t="s">
        <v>59</v>
      </c>
      <c r="J80" s="449" t="s">
        <v>60</v>
      </c>
    </row>
    <row r="81" spans="1:10" ht="12.75">
      <c r="A81" s="287" t="s">
        <v>309</v>
      </c>
      <c r="B81" s="122">
        <v>2930.058</v>
      </c>
      <c r="C81" s="122">
        <v>353.475</v>
      </c>
      <c r="D81" s="123">
        <f aca="true" t="shared" si="13" ref="D81:D98">(B81*1000)/C81</f>
        <v>8289.293443666455</v>
      </c>
      <c r="E81" s="122">
        <v>3547.399</v>
      </c>
      <c r="F81" s="122">
        <v>389.109</v>
      </c>
      <c r="G81" s="123">
        <f aca="true" t="shared" si="14" ref="G81:G92">(E81*1000)/F81</f>
        <v>9116.723077595225</v>
      </c>
      <c r="H81" s="118">
        <f aca="true" t="shared" si="15" ref="H81:H92">SUM(B81-E81)*100/E81</f>
        <v>-17.40263781999149</v>
      </c>
      <c r="I81" s="118">
        <f aca="true" t="shared" si="16" ref="I81:I92">SUM(C81-F81)*100/F81</f>
        <v>-9.1578452310278</v>
      </c>
      <c r="J81" s="288">
        <f aca="true" t="shared" si="17" ref="J81:J92">SUM(D81-G81)*100/G81</f>
        <v>-9.075954450807192</v>
      </c>
    </row>
    <row r="82" spans="1:10" ht="12.75">
      <c r="A82" s="287" t="s">
        <v>338</v>
      </c>
      <c r="B82" s="122">
        <v>1514.301</v>
      </c>
      <c r="C82" s="122">
        <v>330.516</v>
      </c>
      <c r="D82" s="123">
        <f t="shared" si="13"/>
        <v>4581.6269106488035</v>
      </c>
      <c r="E82" s="122">
        <v>1252.899</v>
      </c>
      <c r="F82" s="122">
        <v>173.326</v>
      </c>
      <c r="G82" s="123">
        <f t="shared" si="14"/>
        <v>7228.569285623623</v>
      </c>
      <c r="H82" s="118">
        <f t="shared" si="15"/>
        <v>20.86377273826542</v>
      </c>
      <c r="I82" s="118">
        <f t="shared" si="16"/>
        <v>90.69037536203456</v>
      </c>
      <c r="J82" s="288">
        <f t="shared" si="17"/>
        <v>-36.61779074649158</v>
      </c>
    </row>
    <row r="83" spans="1:10" ht="12.75">
      <c r="A83" s="287" t="s">
        <v>310</v>
      </c>
      <c r="B83" s="122">
        <v>512.585</v>
      </c>
      <c r="C83" s="122">
        <v>96.587</v>
      </c>
      <c r="D83" s="123">
        <f t="shared" si="13"/>
        <v>5306.977129427356</v>
      </c>
      <c r="E83" s="122">
        <v>568.285</v>
      </c>
      <c r="F83" s="122">
        <v>91.601</v>
      </c>
      <c r="G83" s="123">
        <f t="shared" si="14"/>
        <v>6203.91698780581</v>
      </c>
      <c r="H83" s="118">
        <f t="shared" si="15"/>
        <v>-9.801420062116707</v>
      </c>
      <c r="I83" s="118">
        <f t="shared" si="16"/>
        <v>5.443172017772737</v>
      </c>
      <c r="J83" s="288">
        <f t="shared" si="17"/>
        <v>-14.457637975192865</v>
      </c>
    </row>
    <row r="84" spans="1:10" ht="12.75">
      <c r="A84" s="287" t="s">
        <v>314</v>
      </c>
      <c r="B84" s="122">
        <v>496.77</v>
      </c>
      <c r="C84" s="122">
        <v>102.426</v>
      </c>
      <c r="D84" s="123">
        <f t="shared" si="13"/>
        <v>4850.038076269697</v>
      </c>
      <c r="E84" s="122">
        <v>655.232</v>
      </c>
      <c r="F84" s="122">
        <v>102.388</v>
      </c>
      <c r="G84" s="123">
        <f t="shared" si="14"/>
        <v>6399.499941399383</v>
      </c>
      <c r="H84" s="118">
        <f t="shared" si="15"/>
        <v>-24.18410578237937</v>
      </c>
      <c r="I84" s="118">
        <f t="shared" si="16"/>
        <v>0.03711372426455903</v>
      </c>
      <c r="J84" s="288">
        <f t="shared" si="17"/>
        <v>-24.212233445084838</v>
      </c>
    </row>
    <row r="85" spans="1:10" ht="12.75">
      <c r="A85" s="287" t="s">
        <v>319</v>
      </c>
      <c r="B85" s="122">
        <v>431.751</v>
      </c>
      <c r="C85" s="122">
        <v>50.772</v>
      </c>
      <c r="D85" s="123">
        <f t="shared" si="13"/>
        <v>8503.722524225952</v>
      </c>
      <c r="E85" s="122">
        <v>373.157</v>
      </c>
      <c r="F85" s="122">
        <v>53.747</v>
      </c>
      <c r="G85" s="123">
        <f t="shared" si="14"/>
        <v>6942.843321487711</v>
      </c>
      <c r="H85" s="118">
        <f t="shared" si="15"/>
        <v>15.70223793202325</v>
      </c>
      <c r="I85" s="118">
        <f t="shared" si="16"/>
        <v>-5.535192661916016</v>
      </c>
      <c r="J85" s="288">
        <f t="shared" si="17"/>
        <v>22.48184397172563</v>
      </c>
    </row>
    <row r="86" spans="1:10" ht="12.75">
      <c r="A86" s="287" t="s">
        <v>320</v>
      </c>
      <c r="B86" s="122">
        <v>327.547</v>
      </c>
      <c r="C86" s="122">
        <v>55.639</v>
      </c>
      <c r="D86" s="123">
        <f t="shared" si="13"/>
        <v>5887.003720411941</v>
      </c>
      <c r="E86" s="122">
        <v>298.731</v>
      </c>
      <c r="F86" s="122">
        <v>53.62</v>
      </c>
      <c r="G86" s="123">
        <f t="shared" si="14"/>
        <v>5571.260723610593</v>
      </c>
      <c r="H86" s="118">
        <f t="shared" si="15"/>
        <v>9.646136490688958</v>
      </c>
      <c r="I86" s="118">
        <f t="shared" si="16"/>
        <v>3.7653860499813607</v>
      </c>
      <c r="J86" s="288">
        <f t="shared" si="17"/>
        <v>5.667352731550544</v>
      </c>
    </row>
    <row r="87" spans="1:10" ht="12.75">
      <c r="A87" s="287" t="s">
        <v>315</v>
      </c>
      <c r="B87" s="122">
        <v>260.022</v>
      </c>
      <c r="C87" s="122">
        <v>45.894</v>
      </c>
      <c r="D87" s="123">
        <f t="shared" si="13"/>
        <v>5665.707935677867</v>
      </c>
      <c r="E87" s="122">
        <v>263.963</v>
      </c>
      <c r="F87" s="122">
        <v>38.869</v>
      </c>
      <c r="G87" s="123">
        <f t="shared" si="14"/>
        <v>6791.093159072783</v>
      </c>
      <c r="H87" s="118">
        <f t="shared" si="15"/>
        <v>-1.4930122782359765</v>
      </c>
      <c r="I87" s="118">
        <f t="shared" si="16"/>
        <v>18.073529033419945</v>
      </c>
      <c r="J87" s="288">
        <f t="shared" si="17"/>
        <v>-16.571488522306915</v>
      </c>
    </row>
    <row r="88" spans="1:10" ht="12.75">
      <c r="A88" s="287" t="s">
        <v>328</v>
      </c>
      <c r="B88" s="122">
        <v>105.258</v>
      </c>
      <c r="C88" s="122">
        <v>11.078</v>
      </c>
      <c r="D88" s="123">
        <f t="shared" si="13"/>
        <v>9501.534573027622</v>
      </c>
      <c r="E88" s="122">
        <v>148.165</v>
      </c>
      <c r="F88" s="122">
        <v>20.574</v>
      </c>
      <c r="G88" s="123">
        <f t="shared" si="14"/>
        <v>7201.56508214251</v>
      </c>
      <c r="H88" s="118">
        <f t="shared" si="15"/>
        <v>-28.958930921607667</v>
      </c>
      <c r="I88" s="118">
        <f t="shared" si="16"/>
        <v>-46.15534169339944</v>
      </c>
      <c r="J88" s="288">
        <f t="shared" si="17"/>
        <v>31.937078463517228</v>
      </c>
    </row>
    <row r="89" spans="1:10" ht="12.75">
      <c r="A89" s="287" t="s">
        <v>321</v>
      </c>
      <c r="B89" s="122">
        <v>120.831</v>
      </c>
      <c r="C89" s="122">
        <v>30.202</v>
      </c>
      <c r="D89" s="123">
        <f>(B89*1000)/C89</f>
        <v>4000.761538970929</v>
      </c>
      <c r="E89" s="122">
        <v>152.901</v>
      </c>
      <c r="F89" s="122">
        <v>34.434</v>
      </c>
      <c r="G89" s="123">
        <f>(E89*1000)/F89</f>
        <v>4440.407736539467</v>
      </c>
      <c r="H89" s="118">
        <f>SUM(B89-E89)*100/E89</f>
        <v>-20.974355955814552</v>
      </c>
      <c r="I89" s="118">
        <f>SUM(C89-F89)*100/F89</f>
        <v>-12.290178312133346</v>
      </c>
      <c r="J89" s="288">
        <f>SUM(D89-G89)*100/G89</f>
        <v>-9.9010321496099</v>
      </c>
    </row>
    <row r="90" spans="1:10" ht="12.75">
      <c r="A90" s="287" t="s">
        <v>322</v>
      </c>
      <c r="B90" s="122">
        <v>85.927</v>
      </c>
      <c r="C90" s="122">
        <v>17.55</v>
      </c>
      <c r="D90" s="123">
        <f t="shared" si="13"/>
        <v>4896.125356125356</v>
      </c>
      <c r="E90" s="122">
        <v>120.528</v>
      </c>
      <c r="F90" s="122">
        <v>20.77</v>
      </c>
      <c r="G90" s="123">
        <f t="shared" si="14"/>
        <v>5802.985074626866</v>
      </c>
      <c r="H90" s="118">
        <f t="shared" si="15"/>
        <v>-28.707852117350324</v>
      </c>
      <c r="I90" s="118">
        <f t="shared" si="16"/>
        <v>-15.503129513721708</v>
      </c>
      <c r="J90" s="288">
        <f t="shared" si="17"/>
        <v>-15.627469428909759</v>
      </c>
    </row>
    <row r="91" spans="1:10" ht="12.75">
      <c r="A91" s="287" t="s">
        <v>331</v>
      </c>
      <c r="B91" s="122">
        <v>22.335</v>
      </c>
      <c r="C91" s="122">
        <v>1.062</v>
      </c>
      <c r="D91" s="123">
        <f t="shared" si="13"/>
        <v>21031.073446327682</v>
      </c>
      <c r="E91" s="122">
        <v>14.7</v>
      </c>
      <c r="F91" s="122">
        <v>0.6</v>
      </c>
      <c r="G91" s="123">
        <f t="shared" si="14"/>
        <v>24500</v>
      </c>
      <c r="H91" s="118">
        <f t="shared" si="15"/>
        <v>51.93877551020409</v>
      </c>
      <c r="I91" s="118">
        <f t="shared" si="16"/>
        <v>77.00000000000001</v>
      </c>
      <c r="J91" s="288">
        <f t="shared" si="17"/>
        <v>-14.158883892540073</v>
      </c>
    </row>
    <row r="92" spans="1:10" ht="12.75">
      <c r="A92" s="287" t="s">
        <v>333</v>
      </c>
      <c r="B92" s="122">
        <v>20.516</v>
      </c>
      <c r="C92" s="122">
        <v>2.2</v>
      </c>
      <c r="D92" s="123">
        <f t="shared" si="13"/>
        <v>9325.454545454544</v>
      </c>
      <c r="E92" s="122">
        <v>25.374</v>
      </c>
      <c r="F92" s="122">
        <v>2.525</v>
      </c>
      <c r="G92" s="123">
        <f t="shared" si="14"/>
        <v>10049.10891089109</v>
      </c>
      <c r="H92" s="118">
        <f t="shared" si="15"/>
        <v>-19.145582091905105</v>
      </c>
      <c r="I92" s="118">
        <f t="shared" si="16"/>
        <v>-12.87128712871286</v>
      </c>
      <c r="J92" s="288">
        <f t="shared" si="17"/>
        <v>-7.2011794463910945</v>
      </c>
    </row>
    <row r="93" spans="1:10" ht="12.75">
      <c r="A93" s="287" t="s">
        <v>317</v>
      </c>
      <c r="B93" s="122">
        <v>18.948</v>
      </c>
      <c r="C93" s="122">
        <v>2.953</v>
      </c>
      <c r="D93" s="123">
        <f>(B93*1000)/C93</f>
        <v>6416.525567219777</v>
      </c>
      <c r="E93" s="122">
        <v>10.835</v>
      </c>
      <c r="F93" s="122">
        <v>1.48</v>
      </c>
      <c r="G93" s="122">
        <v>0</v>
      </c>
      <c r="H93" s="122">
        <v>0</v>
      </c>
      <c r="I93" s="122">
        <v>0</v>
      </c>
      <c r="J93" s="473">
        <v>0</v>
      </c>
    </row>
    <row r="94" spans="1:10" ht="12.75">
      <c r="A94" s="287" t="s">
        <v>327</v>
      </c>
      <c r="B94" s="122">
        <v>18.985</v>
      </c>
      <c r="C94" s="122">
        <v>4</v>
      </c>
      <c r="D94" s="123">
        <f t="shared" si="13"/>
        <v>4746.25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473">
        <v>0</v>
      </c>
    </row>
    <row r="95" spans="1:10" ht="12.75">
      <c r="A95" s="287" t="s">
        <v>312</v>
      </c>
      <c r="B95" s="122">
        <v>16.73</v>
      </c>
      <c r="C95" s="122">
        <v>0.864</v>
      </c>
      <c r="D95" s="123">
        <f t="shared" si="13"/>
        <v>19363.425925925927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473">
        <v>0</v>
      </c>
    </row>
    <row r="96" spans="1:10" ht="12.75">
      <c r="A96" s="297" t="s">
        <v>15</v>
      </c>
      <c r="B96" s="124">
        <f>SUM(B81:B95)</f>
        <v>6882.563999999999</v>
      </c>
      <c r="C96" s="124">
        <f>SUM(C81:C95)</f>
        <v>1105.2179999999998</v>
      </c>
      <c r="D96" s="125">
        <f t="shared" si="13"/>
        <v>6227.336145448228</v>
      </c>
      <c r="E96" s="124">
        <f>SUM(E81:E95)</f>
        <v>7432.168999999999</v>
      </c>
      <c r="F96" s="124">
        <f>SUM(F81:F95)</f>
        <v>983.0429999999999</v>
      </c>
      <c r="G96" s="125">
        <f>(E96*1000)/F96</f>
        <v>7560.3701974379555</v>
      </c>
      <c r="H96" s="126">
        <f aca="true" t="shared" si="18" ref="H96:J98">SUM(B96-E96)*100/E96</f>
        <v>-7.394947558377637</v>
      </c>
      <c r="I96" s="126">
        <f t="shared" si="18"/>
        <v>12.428245763410143</v>
      </c>
      <c r="J96" s="298">
        <f t="shared" si="18"/>
        <v>-17.63186215989084</v>
      </c>
    </row>
    <row r="97" spans="1:10" ht="12.75">
      <c r="A97" s="299" t="s">
        <v>228</v>
      </c>
      <c r="B97" s="122">
        <f>B98-B96</f>
        <v>67.32300000000032</v>
      </c>
      <c r="C97" s="122">
        <f>C98-C96</f>
        <v>9.18100000000004</v>
      </c>
      <c r="D97" s="123">
        <f t="shared" si="13"/>
        <v>7332.861344080168</v>
      </c>
      <c r="E97" s="122">
        <f>E98-E96</f>
        <v>198.83100000000104</v>
      </c>
      <c r="F97" s="122">
        <f>F98-F96</f>
        <v>21.9670000000001</v>
      </c>
      <c r="G97" s="123">
        <f>(E97*1000)/F97</f>
        <v>9051.349751900585</v>
      </c>
      <c r="H97" s="118">
        <f t="shared" si="18"/>
        <v>-66.14059175883038</v>
      </c>
      <c r="I97" s="118">
        <f t="shared" si="18"/>
        <v>-58.20549005326171</v>
      </c>
      <c r="J97" s="288">
        <f t="shared" si="18"/>
        <v>-18.985990542013603</v>
      </c>
    </row>
    <row r="98" spans="1:10" ht="12.75">
      <c r="A98" s="300" t="s">
        <v>68</v>
      </c>
      <c r="B98" s="127">
        <f>B8</f>
        <v>6949.887</v>
      </c>
      <c r="C98" s="128">
        <f>C8</f>
        <v>1114.399</v>
      </c>
      <c r="D98" s="129">
        <f t="shared" si="13"/>
        <v>6236.444038445836</v>
      </c>
      <c r="E98" s="128">
        <f>E8</f>
        <v>7631</v>
      </c>
      <c r="F98" s="128">
        <f>F8</f>
        <v>1005.01</v>
      </c>
      <c r="G98" s="129">
        <f>(E98*1000)/F98</f>
        <v>7592.9592740370745</v>
      </c>
      <c r="H98" s="121">
        <f t="shared" si="18"/>
        <v>-8.92560608046128</v>
      </c>
      <c r="I98" s="121">
        <f t="shared" si="18"/>
        <v>10.884369309758103</v>
      </c>
      <c r="J98" s="301">
        <f t="shared" si="18"/>
        <v>-17.865435420279788</v>
      </c>
    </row>
    <row r="99" spans="1:10" ht="12.75">
      <c r="A99" s="292" t="s">
        <v>147</v>
      </c>
      <c r="B99" s="36"/>
      <c r="C99" s="36"/>
      <c r="D99" s="36"/>
      <c r="E99" s="36"/>
      <c r="F99" s="36"/>
      <c r="G99" s="293"/>
      <c r="H99" s="36"/>
      <c r="I99" s="36"/>
      <c r="J99" s="36"/>
    </row>
    <row r="100" spans="1:10" ht="12.75">
      <c r="A100" s="305"/>
      <c r="B100" s="305"/>
      <c r="C100" s="305"/>
      <c r="D100" s="305"/>
      <c r="E100" s="305"/>
      <c r="F100" s="305"/>
      <c r="G100" s="306"/>
      <c r="H100" s="305"/>
      <c r="I100" s="305"/>
      <c r="J100" s="305"/>
    </row>
    <row r="101" spans="1:10" ht="12.75">
      <c r="A101" s="641" t="s">
        <v>197</v>
      </c>
      <c r="B101" s="641"/>
      <c r="C101" s="641"/>
      <c r="D101" s="641"/>
      <c r="E101" s="641"/>
      <c r="F101" s="641"/>
      <c r="G101" s="641"/>
      <c r="H101" s="641"/>
      <c r="I101" s="641"/>
      <c r="J101" s="641"/>
    </row>
    <row r="102" spans="1:10" ht="12.75">
      <c r="A102" s="642" t="s">
        <v>341</v>
      </c>
      <c r="B102" s="642"/>
      <c r="C102" s="642"/>
      <c r="D102" s="642"/>
      <c r="E102" s="642"/>
      <c r="F102" s="642"/>
      <c r="G102" s="642"/>
      <c r="H102" s="642"/>
      <c r="I102" s="642"/>
      <c r="J102" s="642"/>
    </row>
    <row r="103" spans="1:10" ht="12.75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</row>
    <row r="104" spans="1:10" ht="12.75">
      <c r="A104" s="643" t="s">
        <v>196</v>
      </c>
      <c r="B104" s="644"/>
      <c r="C104" s="644"/>
      <c r="D104" s="304"/>
      <c r="E104" s="304"/>
      <c r="F104" s="304"/>
      <c r="G104" s="304"/>
      <c r="H104" s="304"/>
      <c r="I104" s="304"/>
      <c r="J104" s="304"/>
    </row>
    <row r="105" spans="1:10" ht="12.75">
      <c r="A105" s="36"/>
      <c r="B105" s="36"/>
      <c r="C105" s="36"/>
      <c r="D105" s="36"/>
      <c r="E105" s="36"/>
      <c r="F105" s="36"/>
      <c r="G105" s="293"/>
      <c r="H105" s="36"/>
      <c r="I105" s="36"/>
      <c r="J105" s="36"/>
    </row>
    <row r="106" spans="1:10" ht="12.75">
      <c r="A106" s="630" t="s">
        <v>65</v>
      </c>
      <c r="B106" s="646" t="str">
        <f>B3</f>
        <v>Jan a Ago/2015</v>
      </c>
      <c r="C106" s="647"/>
      <c r="D106" s="647"/>
      <c r="E106" s="646" t="str">
        <f>E3</f>
        <v>Jan a Ago/2014</v>
      </c>
      <c r="F106" s="647"/>
      <c r="G106" s="647"/>
      <c r="H106" s="648" t="s">
        <v>58</v>
      </c>
      <c r="I106" s="648"/>
      <c r="J106" s="649"/>
    </row>
    <row r="107" spans="1:10" ht="12.75">
      <c r="A107" s="645"/>
      <c r="B107" s="450" t="s">
        <v>1</v>
      </c>
      <c r="C107" s="447" t="s">
        <v>66</v>
      </c>
      <c r="D107" s="448" t="s">
        <v>60</v>
      </c>
      <c r="E107" s="447" t="s">
        <v>1</v>
      </c>
      <c r="F107" s="447" t="s">
        <v>66</v>
      </c>
      <c r="G107" s="446" t="s">
        <v>60</v>
      </c>
      <c r="H107" s="648" t="str">
        <f>H4</f>
        <v>(15/14)</v>
      </c>
      <c r="I107" s="648"/>
      <c r="J107" s="649"/>
    </row>
    <row r="108" spans="1:10" ht="12.75">
      <c r="A108" s="451"/>
      <c r="B108" s="450" t="s">
        <v>67</v>
      </c>
      <c r="C108" s="447" t="s">
        <v>62</v>
      </c>
      <c r="D108" s="448" t="s">
        <v>63</v>
      </c>
      <c r="E108" s="447" t="s">
        <v>67</v>
      </c>
      <c r="F108" s="447" t="s">
        <v>62</v>
      </c>
      <c r="G108" s="446" t="s">
        <v>63</v>
      </c>
      <c r="H108" s="447" t="s">
        <v>1</v>
      </c>
      <c r="I108" s="447" t="s">
        <v>59</v>
      </c>
      <c r="J108" s="449" t="s">
        <v>60</v>
      </c>
    </row>
    <row r="109" spans="1:10" ht="12.75">
      <c r="A109" s="287" t="s">
        <v>310</v>
      </c>
      <c r="B109" s="103">
        <v>11604.235</v>
      </c>
      <c r="C109" s="103">
        <v>1804.676</v>
      </c>
      <c r="D109" s="123">
        <f aca="true" t="shared" si="19" ref="D109:D124">(B109*1000)/C109</f>
        <v>6430.093268819445</v>
      </c>
      <c r="E109" s="103">
        <v>15684.181</v>
      </c>
      <c r="F109" s="103">
        <v>2887.332</v>
      </c>
      <c r="G109" s="123">
        <f aca="true" t="shared" si="20" ref="G109:G120">(E109*1000)/F109</f>
        <v>5432.067043208055</v>
      </c>
      <c r="H109" s="118">
        <f aca="true" t="shared" si="21" ref="H109:H120">SUM(B109-E109)*100/E109</f>
        <v>-26.013127494511824</v>
      </c>
      <c r="I109" s="118">
        <f aca="true" t="shared" si="22" ref="I109:I120">SUM(C109-F109)*100/F109</f>
        <v>-37.49676171635267</v>
      </c>
      <c r="J109" s="288">
        <f aca="true" t="shared" si="23" ref="J109:J120">SUM(D109-G109)*100/G109</f>
        <v>18.372862810286275</v>
      </c>
    </row>
    <row r="110" spans="1:10" ht="12.75">
      <c r="A110" s="287" t="s">
        <v>314</v>
      </c>
      <c r="B110" s="103">
        <v>11732.953</v>
      </c>
      <c r="C110" s="103">
        <v>2265.68</v>
      </c>
      <c r="D110" s="123">
        <f t="shared" si="19"/>
        <v>5178.556989513083</v>
      </c>
      <c r="E110" s="103">
        <v>12802.321</v>
      </c>
      <c r="F110" s="103">
        <v>2299.48</v>
      </c>
      <c r="G110" s="123">
        <f t="shared" si="20"/>
        <v>5567.485257536487</v>
      </c>
      <c r="H110" s="118">
        <f t="shared" si="21"/>
        <v>-8.352922880155875</v>
      </c>
      <c r="I110" s="118">
        <f t="shared" si="22"/>
        <v>-1.4698975420529938</v>
      </c>
      <c r="J110" s="288">
        <f t="shared" si="23"/>
        <v>-6.985708089607003</v>
      </c>
    </row>
    <row r="111" spans="1:10" ht="12.75">
      <c r="A111" s="287" t="s">
        <v>365</v>
      </c>
      <c r="B111" s="103">
        <v>2218.471</v>
      </c>
      <c r="C111" s="103">
        <v>399.04</v>
      </c>
      <c r="D111" s="123">
        <f t="shared" si="19"/>
        <v>5559.520348837209</v>
      </c>
      <c r="E111" s="103">
        <v>2878.91</v>
      </c>
      <c r="F111" s="103">
        <v>517.564</v>
      </c>
      <c r="G111" s="123">
        <f t="shared" si="20"/>
        <v>5562.423197904028</v>
      </c>
      <c r="H111" s="118">
        <f t="shared" si="21"/>
        <v>-22.940592099093053</v>
      </c>
      <c r="I111" s="118">
        <f t="shared" si="22"/>
        <v>-22.900356284440175</v>
      </c>
      <c r="J111" s="288">
        <f t="shared" si="23"/>
        <v>-0.05218677118836692</v>
      </c>
    </row>
    <row r="112" spans="1:10" ht="12.75">
      <c r="A112" s="287" t="s">
        <v>338</v>
      </c>
      <c r="B112" s="103">
        <v>612.252</v>
      </c>
      <c r="C112" s="103">
        <v>50.449</v>
      </c>
      <c r="D112" s="123">
        <f t="shared" si="19"/>
        <v>12136.058197387461</v>
      </c>
      <c r="E112" s="103">
        <v>540.503</v>
      </c>
      <c r="F112" s="103">
        <v>30.948</v>
      </c>
      <c r="G112" s="123">
        <f t="shared" si="20"/>
        <v>17464.87656714489</v>
      </c>
      <c r="H112" s="118">
        <f t="shared" si="21"/>
        <v>13.274486913116098</v>
      </c>
      <c r="I112" s="118">
        <f t="shared" si="22"/>
        <v>63.01214941191675</v>
      </c>
      <c r="J112" s="288">
        <f t="shared" si="23"/>
        <v>-30.511629150486286</v>
      </c>
    </row>
    <row r="113" spans="1:10" ht="12.75">
      <c r="A113" s="287" t="s">
        <v>315</v>
      </c>
      <c r="B113" s="103">
        <v>473.697</v>
      </c>
      <c r="C113" s="103">
        <v>52.295</v>
      </c>
      <c r="D113" s="123">
        <f t="shared" si="19"/>
        <v>9058.169997131658</v>
      </c>
      <c r="E113" s="103">
        <v>398.424</v>
      </c>
      <c r="F113" s="103">
        <v>43.146</v>
      </c>
      <c r="G113" s="123">
        <f t="shared" si="20"/>
        <v>9234.32067862606</v>
      </c>
      <c r="H113" s="118">
        <f t="shared" si="21"/>
        <v>18.89268718751883</v>
      </c>
      <c r="I113" s="118">
        <f t="shared" si="22"/>
        <v>21.204746674083346</v>
      </c>
      <c r="J113" s="288">
        <f t="shared" si="23"/>
        <v>-1.9075651325616636</v>
      </c>
    </row>
    <row r="114" spans="1:10" ht="12.75">
      <c r="A114" s="287" t="s">
        <v>323</v>
      </c>
      <c r="B114" s="103">
        <v>368.778</v>
      </c>
      <c r="C114" s="103">
        <v>71</v>
      </c>
      <c r="D114" s="123">
        <f t="shared" si="19"/>
        <v>5194.056338028169</v>
      </c>
      <c r="E114" s="103">
        <v>281.848</v>
      </c>
      <c r="F114" s="103">
        <v>56.8</v>
      </c>
      <c r="G114" s="123">
        <f t="shared" si="20"/>
        <v>4962.112676056338</v>
      </c>
      <c r="H114" s="118">
        <f t="shared" si="21"/>
        <v>30.84286565808521</v>
      </c>
      <c r="I114" s="118">
        <f t="shared" si="22"/>
        <v>25.000000000000004</v>
      </c>
      <c r="J114" s="288">
        <f t="shared" si="23"/>
        <v>4.674292526468164</v>
      </c>
    </row>
    <row r="115" spans="1:10" ht="12.75">
      <c r="A115" s="287" t="s">
        <v>309</v>
      </c>
      <c r="B115" s="103">
        <v>288.509</v>
      </c>
      <c r="C115" s="103">
        <v>50.147</v>
      </c>
      <c r="D115" s="123">
        <f t="shared" si="19"/>
        <v>5753.265399724809</v>
      </c>
      <c r="E115" s="103">
        <v>418.457</v>
      </c>
      <c r="F115" s="103">
        <v>64.168</v>
      </c>
      <c r="G115" s="123">
        <f t="shared" si="20"/>
        <v>6521.272285251215</v>
      </c>
      <c r="H115" s="118">
        <f t="shared" si="21"/>
        <v>-31.054086799838448</v>
      </c>
      <c r="I115" s="118">
        <f t="shared" si="22"/>
        <v>-21.850455055479376</v>
      </c>
      <c r="J115" s="288">
        <f t="shared" si="23"/>
        <v>-11.776948606537456</v>
      </c>
    </row>
    <row r="116" spans="1:10" ht="12.75">
      <c r="A116" s="287" t="s">
        <v>320</v>
      </c>
      <c r="B116" s="103">
        <v>271.8</v>
      </c>
      <c r="C116" s="103">
        <v>28.467</v>
      </c>
      <c r="D116" s="123">
        <f t="shared" si="19"/>
        <v>9547.897565602278</v>
      </c>
      <c r="E116" s="103">
        <v>267.45</v>
      </c>
      <c r="F116" s="103">
        <v>26.545</v>
      </c>
      <c r="G116" s="123">
        <f t="shared" si="20"/>
        <v>10075.34375588623</v>
      </c>
      <c r="H116" s="118">
        <f t="shared" si="21"/>
        <v>1.6264722378014669</v>
      </c>
      <c r="I116" s="118">
        <f t="shared" si="22"/>
        <v>7.24053494066678</v>
      </c>
      <c r="J116" s="288">
        <f t="shared" si="23"/>
        <v>-5.23501930121051</v>
      </c>
    </row>
    <row r="117" spans="1:10" ht="12.75">
      <c r="A117" s="287" t="s">
        <v>319</v>
      </c>
      <c r="B117" s="103">
        <v>110.389</v>
      </c>
      <c r="C117" s="103">
        <v>17.824</v>
      </c>
      <c r="D117" s="123">
        <f t="shared" si="19"/>
        <v>6193.278725314182</v>
      </c>
      <c r="E117" s="103">
        <v>128.193</v>
      </c>
      <c r="F117" s="103">
        <v>19.485</v>
      </c>
      <c r="G117" s="123">
        <f t="shared" si="20"/>
        <v>6579.060816012318</v>
      </c>
      <c r="H117" s="118">
        <f t="shared" si="21"/>
        <v>-13.888433845841828</v>
      </c>
      <c r="I117" s="118">
        <f t="shared" si="22"/>
        <v>-8.524506030279692</v>
      </c>
      <c r="J117" s="288">
        <f t="shared" si="23"/>
        <v>-5.8637866632758255</v>
      </c>
    </row>
    <row r="118" spans="1:10" ht="12.75">
      <c r="A118" s="287" t="s">
        <v>325</v>
      </c>
      <c r="B118" s="103">
        <v>66.579</v>
      </c>
      <c r="C118" s="103">
        <v>3.953</v>
      </c>
      <c r="D118" s="123">
        <f t="shared" si="19"/>
        <v>16842.65115102454</v>
      </c>
      <c r="E118" s="103">
        <v>80.473</v>
      </c>
      <c r="F118" s="103">
        <v>3.885</v>
      </c>
      <c r="G118" s="123">
        <f t="shared" si="20"/>
        <v>20713.770913770913</v>
      </c>
      <c r="H118" s="118">
        <f t="shared" si="21"/>
        <v>-17.265418214804974</v>
      </c>
      <c r="I118" s="118">
        <f t="shared" si="22"/>
        <v>1.750321750321752</v>
      </c>
      <c r="J118" s="288">
        <f t="shared" si="23"/>
        <v>-18.688628829880408</v>
      </c>
    </row>
    <row r="119" spans="1:10" ht="12.75">
      <c r="A119" s="287" t="s">
        <v>321</v>
      </c>
      <c r="B119" s="103">
        <v>52.031</v>
      </c>
      <c r="C119" s="103">
        <v>3.488</v>
      </c>
      <c r="D119" s="123">
        <f t="shared" si="19"/>
        <v>14917.144495412844</v>
      </c>
      <c r="E119" s="103">
        <v>77.899</v>
      </c>
      <c r="F119" s="103">
        <v>4.892</v>
      </c>
      <c r="G119" s="123">
        <f t="shared" si="20"/>
        <v>15923.75306623058</v>
      </c>
      <c r="H119" s="118">
        <f t="shared" si="21"/>
        <v>-33.20710150322854</v>
      </c>
      <c r="I119" s="118">
        <f t="shared" si="22"/>
        <v>-28.69991823385119</v>
      </c>
      <c r="J119" s="288">
        <f t="shared" si="23"/>
        <v>-6.321427911064795</v>
      </c>
    </row>
    <row r="120" spans="1:11" ht="12.75">
      <c r="A120" s="287" t="s">
        <v>328</v>
      </c>
      <c r="B120" s="103">
        <v>5.193</v>
      </c>
      <c r="C120" s="103">
        <v>0.756</v>
      </c>
      <c r="D120" s="123">
        <f t="shared" si="19"/>
        <v>6869.047619047619</v>
      </c>
      <c r="E120" s="103">
        <v>5.633</v>
      </c>
      <c r="F120" s="103">
        <v>0.888</v>
      </c>
      <c r="G120" s="123">
        <f t="shared" si="20"/>
        <v>6343.468468468468</v>
      </c>
      <c r="H120" s="118">
        <f t="shared" si="21"/>
        <v>-7.811113083614423</v>
      </c>
      <c r="I120" s="118">
        <f t="shared" si="22"/>
        <v>-14.864864864864867</v>
      </c>
      <c r="J120" s="288">
        <f t="shared" si="23"/>
        <v>8.285359235119587</v>
      </c>
      <c r="K120" s="305"/>
    </row>
    <row r="121" spans="1:10" ht="12.75">
      <c r="A121" s="287" t="s">
        <v>316</v>
      </c>
      <c r="B121" s="103">
        <v>4.866</v>
      </c>
      <c r="C121" s="103">
        <v>0.06</v>
      </c>
      <c r="D121" s="123">
        <f t="shared" si="19"/>
        <v>81100</v>
      </c>
      <c r="E121" s="103">
        <v>13.238</v>
      </c>
      <c r="F121" s="103">
        <v>1.821</v>
      </c>
      <c r="G121" s="123">
        <f>(E121*1000)/F121</f>
        <v>7269.632070291049</v>
      </c>
      <c r="H121" s="118">
        <f>SUM(B121-E121)*100/E121</f>
        <v>-63.24218159842877</v>
      </c>
      <c r="I121" s="118">
        <f>SUM(C121-F121)*100/F121</f>
        <v>-96.70510708401977</v>
      </c>
      <c r="J121" s="288">
        <f>SUM(D121-G121)*100/G121</f>
        <v>1015.5997884876871</v>
      </c>
    </row>
    <row r="122" spans="1:10" ht="12.75">
      <c r="A122" s="287" t="s">
        <v>339</v>
      </c>
      <c r="B122" s="103">
        <v>4.353</v>
      </c>
      <c r="C122" s="103">
        <v>0.4</v>
      </c>
      <c r="D122" s="123">
        <f t="shared" si="19"/>
        <v>10882.5</v>
      </c>
      <c r="E122" s="103">
        <v>0</v>
      </c>
      <c r="F122" s="103">
        <v>0</v>
      </c>
      <c r="G122" s="123">
        <v>0</v>
      </c>
      <c r="H122" s="103">
        <v>0</v>
      </c>
      <c r="I122" s="103">
        <v>0</v>
      </c>
      <c r="J122" s="307">
        <v>0</v>
      </c>
    </row>
    <row r="123" spans="1:10" ht="12.75">
      <c r="A123" s="287" t="s">
        <v>340</v>
      </c>
      <c r="B123" s="103">
        <v>3.474</v>
      </c>
      <c r="C123" s="103">
        <v>0.72</v>
      </c>
      <c r="D123" s="123">
        <f t="shared" si="19"/>
        <v>4825</v>
      </c>
      <c r="E123" s="103">
        <v>3.597</v>
      </c>
      <c r="F123" s="103">
        <v>0.672</v>
      </c>
      <c r="G123" s="123">
        <f>(E123*1000)/F123</f>
        <v>5352.678571428571</v>
      </c>
      <c r="H123" s="118">
        <f>SUM(B123-E123)*100/E123</f>
        <v>-3.419516263552955</v>
      </c>
      <c r="I123" s="118">
        <f>SUM(C123-F123)*100/F123</f>
        <v>7.142857142857133</v>
      </c>
      <c r="J123" s="288">
        <f>SUM(D123-G123)*100/G123</f>
        <v>-9.858215179316083</v>
      </c>
    </row>
    <row r="124" spans="1:10" ht="12.75">
      <c r="A124" s="297" t="s">
        <v>15</v>
      </c>
      <c r="B124" s="124">
        <f>SUM(B109:B123)</f>
        <v>27817.58</v>
      </c>
      <c r="C124" s="124">
        <f>SUM(C109:C123)</f>
        <v>4748.955</v>
      </c>
      <c r="D124" s="125">
        <f t="shared" si="19"/>
        <v>5857.621308266766</v>
      </c>
      <c r="E124" s="124">
        <f>SUM(E109:E123)</f>
        <v>33581.12699999999</v>
      </c>
      <c r="F124" s="124">
        <f>SUM(F109:F123)</f>
        <v>5957.625999999999</v>
      </c>
      <c r="G124" s="125">
        <f>(E124*1000)/F124</f>
        <v>5636.6624893875505</v>
      </c>
      <c r="H124" s="126">
        <f aca="true" t="shared" si="24" ref="H124:J126">SUM(B124-E124)*100/E124</f>
        <v>-17.163054116676882</v>
      </c>
      <c r="I124" s="126">
        <f t="shared" si="24"/>
        <v>-20.287795843512153</v>
      </c>
      <c r="J124" s="298">
        <f t="shared" si="24"/>
        <v>3.920029260138016</v>
      </c>
    </row>
    <row r="125" spans="1:10" ht="12.75">
      <c r="A125" s="299" t="s">
        <v>228</v>
      </c>
      <c r="B125" s="122">
        <f>B126-B124</f>
        <v>12.295999999998457</v>
      </c>
      <c r="C125" s="122">
        <f>C126-C124</f>
        <v>0.14400000000023283</v>
      </c>
      <c r="D125" s="123">
        <v>0</v>
      </c>
      <c r="E125" s="122">
        <f>E126-E124</f>
        <v>126.87300000000687</v>
      </c>
      <c r="F125" s="122">
        <f>F126-F124</f>
        <v>22.439000000000306</v>
      </c>
      <c r="G125" s="123">
        <f>(E125*1000)/F125</f>
        <v>5654.128971879546</v>
      </c>
      <c r="H125" s="118">
        <f t="shared" si="24"/>
        <v>-90.30841865487709</v>
      </c>
      <c r="I125" s="118">
        <f t="shared" si="24"/>
        <v>-99.35826017202089</v>
      </c>
      <c r="J125" s="288">
        <f t="shared" si="24"/>
        <v>-100</v>
      </c>
    </row>
    <row r="126" spans="1:10" ht="12.75">
      <c r="A126" s="300" t="s">
        <v>68</v>
      </c>
      <c r="B126" s="127">
        <f>B9</f>
        <v>27829.876</v>
      </c>
      <c r="C126" s="127">
        <f>C9</f>
        <v>4749.099</v>
      </c>
      <c r="D126" s="129">
        <f>(B126*1000)/C126</f>
        <v>5860.032818856797</v>
      </c>
      <c r="E126" s="128">
        <f>E9</f>
        <v>33708</v>
      </c>
      <c r="F126" s="128">
        <f>F9</f>
        <v>5980.065</v>
      </c>
      <c r="G126" s="129">
        <f>(E126*1000)/F126</f>
        <v>5636.72802887594</v>
      </c>
      <c r="H126" s="121">
        <f t="shared" si="24"/>
        <v>-17.438364779874213</v>
      </c>
      <c r="I126" s="121">
        <f t="shared" si="24"/>
        <v>-20.584491974585553</v>
      </c>
      <c r="J126" s="301">
        <f t="shared" si="24"/>
        <v>3.96160305831516</v>
      </c>
    </row>
    <row r="127" spans="1:10" ht="12.75">
      <c r="A127" s="4" t="s">
        <v>147</v>
      </c>
      <c r="B127" s="3"/>
      <c r="C127" s="3"/>
      <c r="D127" s="3"/>
      <c r="E127" s="3"/>
      <c r="F127" s="3"/>
      <c r="G127" s="34"/>
      <c r="H127" s="3"/>
      <c r="I127" s="3"/>
      <c r="J127" s="3"/>
    </row>
  </sheetData>
  <sheetProtection/>
  <mergeCells count="38">
    <mergeCell ref="A1:J1"/>
    <mergeCell ref="A3:A4"/>
    <mergeCell ref="B3:D3"/>
    <mergeCell ref="E3:G3"/>
    <mergeCell ref="H3:J3"/>
    <mergeCell ref="H4:J4"/>
    <mergeCell ref="A19:J19"/>
    <mergeCell ref="A20:J20"/>
    <mergeCell ref="A24:A25"/>
    <mergeCell ref="B24:D24"/>
    <mergeCell ref="E24:G24"/>
    <mergeCell ref="H24:J24"/>
    <mergeCell ref="H25:J25"/>
    <mergeCell ref="A22:C22"/>
    <mergeCell ref="A46:J46"/>
    <mergeCell ref="A47:J47"/>
    <mergeCell ref="A51:A52"/>
    <mergeCell ref="B51:D51"/>
    <mergeCell ref="E51:G51"/>
    <mergeCell ref="H51:J51"/>
    <mergeCell ref="H52:J52"/>
    <mergeCell ref="A49:C49"/>
    <mergeCell ref="A73:J73"/>
    <mergeCell ref="A74:J74"/>
    <mergeCell ref="A76:C76"/>
    <mergeCell ref="A78:A79"/>
    <mergeCell ref="B78:D78"/>
    <mergeCell ref="E78:G78"/>
    <mergeCell ref="H78:J78"/>
    <mergeCell ref="H79:J79"/>
    <mergeCell ref="A101:J101"/>
    <mergeCell ref="A102:J102"/>
    <mergeCell ref="A104:C104"/>
    <mergeCell ref="A106:A107"/>
    <mergeCell ref="B106:D106"/>
    <mergeCell ref="E106:G106"/>
    <mergeCell ref="H106:J106"/>
    <mergeCell ref="H107:J107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2" max="255" man="1"/>
  </rowBreaks>
  <ignoredErrors>
    <ignoredError sqref="D42 D97:D98 D69:D70 D44 D71 D96 D43 D126 D124" formula="1"/>
    <ignoredError sqref="H7:J7 D7" evalError="1"/>
    <ignoredError sqref="G9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1.7109375" style="256" customWidth="1"/>
    <col min="2" max="7" width="11.7109375" style="256" customWidth="1"/>
    <col min="8" max="16384" width="9.140625" style="256" customWidth="1"/>
  </cols>
  <sheetData>
    <row r="1" spans="1:7" ht="19.5" customHeight="1">
      <c r="A1" s="629" t="s">
        <v>260</v>
      </c>
      <c r="B1" s="629"/>
      <c r="C1" s="629"/>
      <c r="D1" s="629"/>
      <c r="E1" s="629"/>
      <c r="F1" s="629"/>
      <c r="G1" s="629"/>
    </row>
    <row r="2" ht="19.5" customHeight="1"/>
    <row r="3" spans="1:7" ht="19.5" customHeight="1">
      <c r="A3" s="657" t="s">
        <v>149</v>
      </c>
      <c r="B3" s="632" t="str">
        <f>'Exp.Agronegócio'!C10</f>
        <v>Jan a Ago/2015</v>
      </c>
      <c r="C3" s="633"/>
      <c r="D3" s="632" t="str">
        <f>'Exp.Agronegócio'!E10</f>
        <v>Jan a Ago/2014</v>
      </c>
      <c r="E3" s="633"/>
      <c r="F3" s="634" t="s">
        <v>58</v>
      </c>
      <c r="G3" s="635"/>
    </row>
    <row r="4" spans="1:7" ht="19.5" customHeight="1">
      <c r="A4" s="658"/>
      <c r="B4" s="386" t="s">
        <v>1</v>
      </c>
      <c r="C4" s="386" t="s">
        <v>59</v>
      </c>
      <c r="D4" s="386" t="s">
        <v>1</v>
      </c>
      <c r="E4" s="386" t="s">
        <v>59</v>
      </c>
      <c r="F4" s="633" t="s">
        <v>301</v>
      </c>
      <c r="G4" s="636"/>
    </row>
    <row r="5" spans="1:7" ht="19.5" customHeight="1">
      <c r="A5" s="659"/>
      <c r="B5" s="388" t="s">
        <v>215</v>
      </c>
      <c r="C5" s="388" t="s">
        <v>216</v>
      </c>
      <c r="D5" s="388" t="s">
        <v>215</v>
      </c>
      <c r="E5" s="388" t="s">
        <v>216</v>
      </c>
      <c r="F5" s="388" t="s">
        <v>1</v>
      </c>
      <c r="G5" s="457" t="s">
        <v>59</v>
      </c>
    </row>
    <row r="6" spans="1:7" ht="19.5" customHeight="1">
      <c r="A6" s="280" t="s">
        <v>139</v>
      </c>
      <c r="B6" s="257">
        <v>27302</v>
      </c>
      <c r="C6" s="257">
        <v>525.95</v>
      </c>
      <c r="D6" s="257">
        <v>34635</v>
      </c>
      <c r="E6" s="257">
        <v>256.95</v>
      </c>
      <c r="F6" s="274">
        <f>SUM(B6-D6)*100/D6</f>
        <v>-21.172224628266203</v>
      </c>
      <c r="G6" s="281">
        <f>SUM(C6-E6)*100/E6</f>
        <v>104.68962833236041</v>
      </c>
    </row>
    <row r="7" spans="1:7" ht="19.5" customHeight="1">
      <c r="A7" s="280" t="s">
        <v>64</v>
      </c>
      <c r="B7" s="257">
        <v>59942</v>
      </c>
      <c r="C7" s="257">
        <v>288.64</v>
      </c>
      <c r="D7" s="257">
        <v>84531</v>
      </c>
      <c r="E7" s="257">
        <v>374.79</v>
      </c>
      <c r="F7" s="274">
        <f>SUM(B7-D7)*100/D7</f>
        <v>-29.08873667648555</v>
      </c>
      <c r="G7" s="281">
        <f>SUM(C7-E7)*100/E7</f>
        <v>-22.986205608474087</v>
      </c>
    </row>
    <row r="8" spans="1:7" ht="19.5" customHeight="1">
      <c r="A8" s="280" t="s">
        <v>200</v>
      </c>
      <c r="B8" s="257">
        <v>12585986</v>
      </c>
      <c r="C8" s="257">
        <v>49558.86</v>
      </c>
      <c r="D8" s="257">
        <v>8871852</v>
      </c>
      <c r="E8" s="257">
        <v>30925.4833</v>
      </c>
      <c r="F8" s="274">
        <f aca="true" t="shared" si="0" ref="F8:G11">SUM(B8-D8)*100/D8</f>
        <v>41.86424660826172</v>
      </c>
      <c r="G8" s="281">
        <f t="shared" si="0"/>
        <v>60.25249959472744</v>
      </c>
    </row>
    <row r="9" spans="1:7" ht="19.5" customHeight="1">
      <c r="A9" s="280" t="s">
        <v>226</v>
      </c>
      <c r="B9" s="257">
        <v>50550509</v>
      </c>
      <c r="C9" s="257">
        <v>54760.15</v>
      </c>
      <c r="D9" s="257">
        <v>32252643</v>
      </c>
      <c r="E9" s="257">
        <v>32523.24</v>
      </c>
      <c r="F9" s="274">
        <f t="shared" si="0"/>
        <v>56.732919531586916</v>
      </c>
      <c r="G9" s="281">
        <f t="shared" si="0"/>
        <v>68.3723700344738</v>
      </c>
    </row>
    <row r="10" spans="1:7" ht="19.5" customHeight="1">
      <c r="A10" s="280" t="s">
        <v>351</v>
      </c>
      <c r="B10" s="257">
        <v>2389</v>
      </c>
      <c r="C10" s="257">
        <v>20.36</v>
      </c>
      <c r="D10" s="257">
        <v>1260</v>
      </c>
      <c r="E10" s="257">
        <v>8.23</v>
      </c>
      <c r="F10" s="274">
        <f>SUM(B10-D10)*100/D10</f>
        <v>89.60317460317461</v>
      </c>
      <c r="G10" s="281">
        <f>SUM(C10-E10)*100/E10</f>
        <v>147.3876063183475</v>
      </c>
    </row>
    <row r="11" spans="1:7" ht="19.5" customHeight="1">
      <c r="A11" s="282" t="s">
        <v>2</v>
      </c>
      <c r="B11" s="262">
        <f>SUM(B6:B9)</f>
        <v>63223739</v>
      </c>
      <c r="C11" s="262">
        <f>SUM(C6:C9)</f>
        <v>105133.6</v>
      </c>
      <c r="D11" s="262">
        <f>SUM(D6:D9)</f>
        <v>41243661</v>
      </c>
      <c r="E11" s="262">
        <f>SUM(E6:E9)</f>
        <v>64080.4633</v>
      </c>
      <c r="F11" s="276">
        <f t="shared" si="0"/>
        <v>53.2932272913406</v>
      </c>
      <c r="G11" s="458">
        <f t="shared" si="0"/>
        <v>64.06498109697657</v>
      </c>
    </row>
    <row r="12" spans="1:7" ht="19.5" customHeight="1">
      <c r="A12" s="4" t="s">
        <v>147</v>
      </c>
      <c r="B12" s="3"/>
      <c r="C12" s="3"/>
      <c r="D12" s="3"/>
      <c r="E12" s="3"/>
      <c r="F12" s="3"/>
      <c r="G12" s="3"/>
    </row>
    <row r="13" spans="1:7" ht="12" customHeight="1">
      <c r="A13" s="4" t="s">
        <v>358</v>
      </c>
      <c r="B13" s="3"/>
      <c r="C13" s="3"/>
      <c r="D13" s="3"/>
      <c r="E13" s="3"/>
      <c r="F13" s="3"/>
      <c r="G13" s="3"/>
    </row>
    <row r="14" spans="1:7" ht="12" customHeight="1">
      <c r="A14" s="182"/>
      <c r="B14" s="3"/>
      <c r="C14" s="3"/>
      <c r="D14" s="3"/>
      <c r="E14" s="3"/>
      <c r="F14" s="3"/>
      <c r="G14" s="3"/>
    </row>
    <row r="15" spans="1:7" ht="12" customHeight="1">
      <c r="A15" s="182"/>
      <c r="B15" s="3"/>
      <c r="C15" s="3"/>
      <c r="D15" s="3"/>
      <c r="E15" s="3"/>
      <c r="F15" s="3"/>
      <c r="G15" s="3"/>
    </row>
    <row r="16" spans="1:7" ht="12" customHeight="1">
      <c r="A16" s="182"/>
      <c r="B16" s="3"/>
      <c r="C16" s="3"/>
      <c r="D16" s="3"/>
      <c r="E16" s="3"/>
      <c r="F16" s="3"/>
      <c r="G16" s="3"/>
    </row>
    <row r="17" spans="1:7" ht="12" customHeight="1">
      <c r="A17" s="182"/>
      <c r="B17" s="3"/>
      <c r="C17" s="3"/>
      <c r="D17" s="3"/>
      <c r="E17" s="3"/>
      <c r="F17" s="3"/>
      <c r="G17" s="3"/>
    </row>
  </sheetData>
  <sheetProtection/>
  <mergeCells count="6">
    <mergeCell ref="F4:G4"/>
    <mergeCell ref="A3:A5"/>
    <mergeCell ref="A1:G1"/>
    <mergeCell ref="B3:C3"/>
    <mergeCell ref="D3:E3"/>
    <mergeCell ref="F3:G3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zoomScale="90" zoomScaleNormal="90" zoomScalePageLayoutView="0" workbookViewId="0" topLeftCell="A13">
      <selection activeCell="A35" sqref="A35"/>
    </sheetView>
  </sheetViews>
  <sheetFormatPr defaultColWidth="9.140625" defaultRowHeight="12.75"/>
  <cols>
    <col min="1" max="1" width="28.8515625" style="205" customWidth="1"/>
    <col min="2" max="2" width="9.28125" style="205" customWidth="1"/>
    <col min="3" max="3" width="11.140625" style="205" customWidth="1"/>
    <col min="4" max="4" width="10.7109375" style="205" customWidth="1"/>
    <col min="5" max="5" width="11.7109375" style="205" customWidth="1"/>
    <col min="6" max="7" width="10.28125" style="2" customWidth="1"/>
    <col min="8" max="8" width="11.28125" style="2" customWidth="1"/>
    <col min="9" max="9" width="14.8515625" style="2" customWidth="1"/>
    <col min="10" max="16384" width="9.140625" style="2" customWidth="1"/>
  </cols>
  <sheetData>
    <row r="1" spans="1:12" ht="18" customHeight="1">
      <c r="A1" s="662" t="s">
        <v>42</v>
      </c>
      <c r="B1" s="662"/>
      <c r="C1" s="662"/>
      <c r="D1" s="662"/>
      <c r="E1" s="662"/>
      <c r="F1" s="662"/>
      <c r="G1" s="662"/>
      <c r="H1" s="662"/>
      <c r="I1" s="662"/>
      <c r="J1"/>
      <c r="K1"/>
      <c r="L1"/>
    </row>
    <row r="2" spans="1:12" ht="18" customHeight="1">
      <c r="A2" s="663" t="s">
        <v>305</v>
      </c>
      <c r="B2" s="663"/>
      <c r="C2" s="663"/>
      <c r="D2" s="663"/>
      <c r="E2" s="663"/>
      <c r="F2" s="663"/>
      <c r="G2" s="663"/>
      <c r="H2" s="663"/>
      <c r="I2" s="663"/>
      <c r="J2"/>
      <c r="K2"/>
      <c r="L2"/>
    </row>
    <row r="3" spans="1:12" ht="18" customHeight="1">
      <c r="A3" s="664" t="s">
        <v>330</v>
      </c>
      <c r="B3" s="664"/>
      <c r="C3" s="664"/>
      <c r="D3" s="664"/>
      <c r="E3" s="664"/>
      <c r="F3" s="664"/>
      <c r="G3" s="664"/>
      <c r="H3" s="664"/>
      <c r="I3" s="664"/>
      <c r="J3"/>
      <c r="K3"/>
      <c r="L3"/>
    </row>
    <row r="4" spans="1:12" ht="18" customHeight="1">
      <c r="A4" s="665">
        <v>42156</v>
      </c>
      <c r="B4" s="665"/>
      <c r="C4" s="665"/>
      <c r="D4" s="665"/>
      <c r="E4" s="665"/>
      <c r="F4" s="665"/>
      <c r="G4" s="665"/>
      <c r="H4" s="665"/>
      <c r="I4" s="665"/>
      <c r="J4"/>
      <c r="K4"/>
      <c r="L4"/>
    </row>
    <row r="5" spans="1:12" ht="19.5" customHeight="1">
      <c r="A5" s="324"/>
      <c r="B5" s="666" t="s">
        <v>51</v>
      </c>
      <c r="C5" s="666"/>
      <c r="D5" s="666"/>
      <c r="E5" s="666"/>
      <c r="F5" s="667" t="s">
        <v>52</v>
      </c>
      <c r="G5" s="668"/>
      <c r="H5" s="669"/>
      <c r="I5" s="472"/>
      <c r="J5"/>
      <c r="K5"/>
      <c r="L5"/>
    </row>
    <row r="6" spans="1:12" ht="19.5" customHeight="1">
      <c r="A6" s="325" t="s">
        <v>162</v>
      </c>
      <c r="B6" s="666" t="s">
        <v>190</v>
      </c>
      <c r="C6" s="666"/>
      <c r="D6" s="666" t="s">
        <v>53</v>
      </c>
      <c r="E6" s="666"/>
      <c r="F6" s="661" t="s">
        <v>163</v>
      </c>
      <c r="G6" s="670"/>
      <c r="H6" s="671"/>
      <c r="I6" s="474" t="s">
        <v>125</v>
      </c>
      <c r="J6"/>
      <c r="K6"/>
      <c r="L6"/>
    </row>
    <row r="7" spans="1:12" ht="19.5" customHeight="1">
      <c r="A7" s="325" t="s">
        <v>95</v>
      </c>
      <c r="B7" s="223" t="s">
        <v>54</v>
      </c>
      <c r="C7" s="223" t="s">
        <v>55</v>
      </c>
      <c r="D7" s="223" t="s">
        <v>54</v>
      </c>
      <c r="E7" s="223" t="s">
        <v>55</v>
      </c>
      <c r="F7" s="672" t="s">
        <v>23</v>
      </c>
      <c r="G7" s="672" t="s">
        <v>26</v>
      </c>
      <c r="H7" s="672" t="s">
        <v>2</v>
      </c>
      <c r="I7" s="660" t="s">
        <v>56</v>
      </c>
      <c r="J7"/>
      <c r="K7"/>
      <c r="L7"/>
    </row>
    <row r="8" spans="1:12" ht="19.5" customHeight="1">
      <c r="A8" s="327"/>
      <c r="B8" s="223" t="s">
        <v>57</v>
      </c>
      <c r="C8" s="234" t="s">
        <v>50</v>
      </c>
      <c r="D8" s="223" t="s">
        <v>57</v>
      </c>
      <c r="E8" s="234" t="s">
        <v>50</v>
      </c>
      <c r="F8" s="673"/>
      <c r="G8" s="673"/>
      <c r="H8" s="673"/>
      <c r="I8" s="661"/>
      <c r="J8"/>
      <c r="K8"/>
      <c r="L8"/>
    </row>
    <row r="9" spans="1:12" ht="16.5" customHeight="1">
      <c r="A9" s="424" t="s">
        <v>274</v>
      </c>
      <c r="B9" s="329">
        <f aca="true" t="shared" si="0" ref="B9:G9">SUM(B10:B11)</f>
        <v>8090</v>
      </c>
      <c r="C9" s="329">
        <f t="shared" si="0"/>
        <v>12620.2</v>
      </c>
      <c r="D9" s="329">
        <f t="shared" si="0"/>
        <v>88900</v>
      </c>
      <c r="E9" s="329">
        <f t="shared" si="0"/>
        <v>136592.2</v>
      </c>
      <c r="F9" s="235">
        <f t="shared" si="0"/>
        <v>0</v>
      </c>
      <c r="G9" s="235">
        <f t="shared" si="0"/>
        <v>1873</v>
      </c>
      <c r="H9" s="459">
        <f aca="true" t="shared" si="1" ref="H9:H33">SUM(F9:G9)</f>
        <v>1873</v>
      </c>
      <c r="I9" s="330">
        <f aca="true" t="shared" si="2" ref="I9:I34">(H9/D9)*1000</f>
        <v>21.06861642294713</v>
      </c>
      <c r="J9"/>
      <c r="K9"/>
      <c r="L9"/>
    </row>
    <row r="10" spans="1:12" ht="16.5" customHeight="1">
      <c r="A10" s="425" t="s">
        <v>275</v>
      </c>
      <c r="B10" s="332">
        <v>8040</v>
      </c>
      <c r="C10" s="332">
        <v>12510.2</v>
      </c>
      <c r="D10" s="333">
        <v>87657</v>
      </c>
      <c r="E10" s="332">
        <v>133822.2</v>
      </c>
      <c r="F10" s="460">
        <v>0</v>
      </c>
      <c r="G10" s="427">
        <v>1857</v>
      </c>
      <c r="H10" s="427">
        <f t="shared" si="1"/>
        <v>1857</v>
      </c>
      <c r="I10" s="355">
        <f t="shared" si="2"/>
        <v>21.184845477257948</v>
      </c>
      <c r="J10"/>
      <c r="K10"/>
      <c r="L10"/>
    </row>
    <row r="11" spans="1:12" ht="16.5" customHeight="1">
      <c r="A11" s="428" t="s">
        <v>276</v>
      </c>
      <c r="B11" s="339">
        <v>50</v>
      </c>
      <c r="C11" s="339">
        <v>110</v>
      </c>
      <c r="D11" s="340">
        <v>1243</v>
      </c>
      <c r="E11" s="339">
        <v>2770</v>
      </c>
      <c r="F11" s="461">
        <v>0</v>
      </c>
      <c r="G11" s="482">
        <v>16</v>
      </c>
      <c r="H11" s="462">
        <f t="shared" si="1"/>
        <v>16</v>
      </c>
      <c r="I11" s="355">
        <f t="shared" si="2"/>
        <v>12.872083668543844</v>
      </c>
      <c r="J11"/>
      <c r="K11"/>
      <c r="L11"/>
    </row>
    <row r="12" spans="1:12" ht="16.5" customHeight="1">
      <c r="A12" s="424" t="s">
        <v>277</v>
      </c>
      <c r="B12" s="329">
        <f aca="true" t="shared" si="3" ref="B12:G12">B13</f>
        <v>15588</v>
      </c>
      <c r="C12" s="329">
        <f t="shared" si="3"/>
        <v>59222.9</v>
      </c>
      <c r="D12" s="329">
        <f t="shared" si="3"/>
        <v>146277</v>
      </c>
      <c r="E12" s="329">
        <f t="shared" si="3"/>
        <v>399174</v>
      </c>
      <c r="F12" s="463">
        <f t="shared" si="3"/>
        <v>1197</v>
      </c>
      <c r="G12" s="329">
        <f t="shared" si="3"/>
        <v>1184</v>
      </c>
      <c r="H12" s="459">
        <f t="shared" si="1"/>
        <v>2381</v>
      </c>
      <c r="I12" s="330">
        <f t="shared" si="2"/>
        <v>16.277336833541842</v>
      </c>
      <c r="J12"/>
      <c r="K12"/>
      <c r="L12"/>
    </row>
    <row r="13" spans="1:12" ht="16.5" customHeight="1">
      <c r="A13" s="431" t="s">
        <v>278</v>
      </c>
      <c r="B13" s="332">
        <f aca="true" t="shared" si="4" ref="B13:G13">SUM(B14:B16)</f>
        <v>15588</v>
      </c>
      <c r="C13" s="332">
        <f t="shared" si="4"/>
        <v>59222.9</v>
      </c>
      <c r="D13" s="332">
        <f t="shared" si="4"/>
        <v>146277</v>
      </c>
      <c r="E13" s="332">
        <f t="shared" si="4"/>
        <v>399174</v>
      </c>
      <c r="F13" s="464">
        <f t="shared" si="4"/>
        <v>1197</v>
      </c>
      <c r="G13" s="432">
        <f t="shared" si="4"/>
        <v>1184</v>
      </c>
      <c r="H13" s="432">
        <f t="shared" si="1"/>
        <v>2381</v>
      </c>
      <c r="I13" s="355">
        <f t="shared" si="2"/>
        <v>16.277336833541842</v>
      </c>
      <c r="J13"/>
      <c r="K13"/>
      <c r="L13"/>
    </row>
    <row r="14" spans="1:12" ht="16.5" customHeight="1">
      <c r="A14" s="433" t="s">
        <v>279</v>
      </c>
      <c r="B14" s="348">
        <v>5058</v>
      </c>
      <c r="C14" s="348">
        <v>27819</v>
      </c>
      <c r="D14" s="349">
        <v>9129</v>
      </c>
      <c r="E14" s="348">
        <v>50210</v>
      </c>
      <c r="F14" s="434">
        <v>351</v>
      </c>
      <c r="G14" s="435">
        <v>0</v>
      </c>
      <c r="H14" s="432">
        <f t="shared" si="1"/>
        <v>351</v>
      </c>
      <c r="I14" s="353">
        <f t="shared" si="2"/>
        <v>38.44889911271771</v>
      </c>
      <c r="J14"/>
      <c r="K14"/>
      <c r="L14"/>
    </row>
    <row r="15" spans="1:12" ht="16.5" customHeight="1">
      <c r="A15" s="433" t="s">
        <v>280</v>
      </c>
      <c r="B15" s="348">
        <v>6767</v>
      </c>
      <c r="C15" s="348">
        <v>22448</v>
      </c>
      <c r="D15" s="349">
        <v>101921</v>
      </c>
      <c r="E15" s="348">
        <v>265123</v>
      </c>
      <c r="F15" s="434">
        <v>846</v>
      </c>
      <c r="G15" s="436">
        <v>0</v>
      </c>
      <c r="H15" s="432">
        <f t="shared" si="1"/>
        <v>846</v>
      </c>
      <c r="I15" s="353">
        <f t="shared" si="2"/>
        <v>8.300546501702298</v>
      </c>
      <c r="J15"/>
      <c r="K15"/>
      <c r="L15"/>
    </row>
    <row r="16" spans="1:12" ht="16.5" customHeight="1">
      <c r="A16" s="428" t="s">
        <v>281</v>
      </c>
      <c r="B16" s="339">
        <v>3763</v>
      </c>
      <c r="C16" s="339">
        <v>8955.9</v>
      </c>
      <c r="D16" s="340">
        <v>35227</v>
      </c>
      <c r="E16" s="339">
        <v>83841</v>
      </c>
      <c r="F16" s="429">
        <v>0</v>
      </c>
      <c r="G16" s="430">
        <v>1184</v>
      </c>
      <c r="H16" s="432">
        <f t="shared" si="1"/>
        <v>1184</v>
      </c>
      <c r="I16" s="353">
        <f t="shared" si="2"/>
        <v>33.61058279160871</v>
      </c>
      <c r="J16"/>
      <c r="K16"/>
      <c r="L16"/>
    </row>
    <row r="17" spans="1:12" ht="16.5" customHeight="1">
      <c r="A17" s="424" t="s">
        <v>282</v>
      </c>
      <c r="B17" s="329">
        <f aca="true" t="shared" si="5" ref="B17:G17">SUM(B18:B19)</f>
        <v>2458</v>
      </c>
      <c r="C17" s="329">
        <f t="shared" si="5"/>
        <v>8873</v>
      </c>
      <c r="D17" s="329">
        <f t="shared" si="5"/>
        <v>26743</v>
      </c>
      <c r="E17" s="329">
        <f t="shared" si="5"/>
        <v>75826</v>
      </c>
      <c r="F17" s="235">
        <f t="shared" si="5"/>
        <v>297</v>
      </c>
      <c r="G17" s="235">
        <f t="shared" si="5"/>
        <v>150</v>
      </c>
      <c r="H17" s="459">
        <f t="shared" si="1"/>
        <v>447</v>
      </c>
      <c r="I17" s="330">
        <f t="shared" si="2"/>
        <v>16.714654302060353</v>
      </c>
      <c r="J17"/>
      <c r="K17"/>
      <c r="L17"/>
    </row>
    <row r="18" spans="1:12" ht="16.5" customHeight="1">
      <c r="A18" s="431" t="s">
        <v>283</v>
      </c>
      <c r="B18" s="332">
        <v>1172</v>
      </c>
      <c r="C18" s="332">
        <v>2717</v>
      </c>
      <c r="D18" s="333">
        <v>20339</v>
      </c>
      <c r="E18" s="332">
        <v>46691</v>
      </c>
      <c r="F18" s="426">
        <v>2</v>
      </c>
      <c r="G18" s="427">
        <v>150</v>
      </c>
      <c r="H18" s="465">
        <f t="shared" si="1"/>
        <v>152</v>
      </c>
      <c r="I18" s="355">
        <f t="shared" si="2"/>
        <v>7.473327105560745</v>
      </c>
      <c r="J18"/>
      <c r="K18"/>
      <c r="L18"/>
    </row>
    <row r="19" spans="1:12" ht="16.5" customHeight="1">
      <c r="A19" s="428" t="s">
        <v>284</v>
      </c>
      <c r="B19" s="339">
        <v>1286</v>
      </c>
      <c r="C19" s="339">
        <v>6156</v>
      </c>
      <c r="D19" s="340">
        <v>6404</v>
      </c>
      <c r="E19" s="339">
        <v>29135</v>
      </c>
      <c r="F19" s="429">
        <v>295</v>
      </c>
      <c r="G19" s="430">
        <v>0</v>
      </c>
      <c r="H19" s="465">
        <f t="shared" si="1"/>
        <v>295</v>
      </c>
      <c r="I19" s="353">
        <f t="shared" si="2"/>
        <v>46.06495940037476</v>
      </c>
      <c r="J19"/>
      <c r="K19"/>
      <c r="L19"/>
    </row>
    <row r="20" spans="1:12" ht="16.5" customHeight="1">
      <c r="A20" s="424" t="s">
        <v>285</v>
      </c>
      <c r="B20" s="329">
        <f aca="true" t="shared" si="6" ref="B20:G20">B21+B26+B27+B28</f>
        <v>280955</v>
      </c>
      <c r="C20" s="329">
        <f t="shared" si="6"/>
        <v>990914</v>
      </c>
      <c r="D20" s="329">
        <f t="shared" si="6"/>
        <v>1624597</v>
      </c>
      <c r="E20" s="329">
        <f t="shared" si="6"/>
        <v>4648932</v>
      </c>
      <c r="F20" s="463">
        <f t="shared" si="6"/>
        <v>30192</v>
      </c>
      <c r="G20" s="329">
        <f t="shared" si="6"/>
        <v>8101</v>
      </c>
      <c r="H20" s="459">
        <f t="shared" si="1"/>
        <v>38293</v>
      </c>
      <c r="I20" s="330">
        <f t="shared" si="2"/>
        <v>23.57076862754271</v>
      </c>
      <c r="J20"/>
      <c r="K20"/>
      <c r="L20"/>
    </row>
    <row r="21" spans="1:12" ht="16.5" customHeight="1">
      <c r="A21" s="358" t="s">
        <v>286</v>
      </c>
      <c r="B21" s="332">
        <f aca="true" t="shared" si="7" ref="B21:G21">SUM(B22:B25)</f>
        <v>227253</v>
      </c>
      <c r="C21" s="332">
        <f t="shared" si="7"/>
        <v>811943</v>
      </c>
      <c r="D21" s="332">
        <f t="shared" si="7"/>
        <v>975265</v>
      </c>
      <c r="E21" s="332">
        <f t="shared" si="7"/>
        <v>3010935</v>
      </c>
      <c r="F21" s="464">
        <f t="shared" si="7"/>
        <v>23302</v>
      </c>
      <c r="G21" s="432">
        <f t="shared" si="7"/>
        <v>340</v>
      </c>
      <c r="H21" s="432">
        <f t="shared" si="1"/>
        <v>23642</v>
      </c>
      <c r="I21" s="355">
        <f t="shared" si="2"/>
        <v>24.241616381188702</v>
      </c>
      <c r="J21"/>
      <c r="K21"/>
      <c r="L21"/>
    </row>
    <row r="22" spans="1:12" ht="16.5" customHeight="1">
      <c r="A22" s="358" t="s">
        <v>287</v>
      </c>
      <c r="B22" s="348">
        <v>143482</v>
      </c>
      <c r="C22" s="348">
        <v>502187</v>
      </c>
      <c r="D22" s="349">
        <v>477905</v>
      </c>
      <c r="E22" s="348">
        <v>1433715</v>
      </c>
      <c r="F22" s="426">
        <v>10801</v>
      </c>
      <c r="G22" s="436">
        <v>0</v>
      </c>
      <c r="H22" s="432">
        <f t="shared" si="1"/>
        <v>10801</v>
      </c>
      <c r="I22" s="353">
        <f t="shared" si="2"/>
        <v>22.600726085728336</v>
      </c>
      <c r="J22"/>
      <c r="K22"/>
      <c r="L22"/>
    </row>
    <row r="23" spans="1:12" ht="26.25" customHeight="1">
      <c r="A23" s="445" t="s">
        <v>288</v>
      </c>
      <c r="B23" s="348">
        <v>33118</v>
      </c>
      <c r="C23" s="348">
        <v>132470</v>
      </c>
      <c r="D23" s="349">
        <v>170278</v>
      </c>
      <c r="E23" s="348">
        <v>595974</v>
      </c>
      <c r="F23" s="426">
        <v>5042</v>
      </c>
      <c r="G23" s="435">
        <v>0</v>
      </c>
      <c r="H23" s="432">
        <f t="shared" si="1"/>
        <v>5042</v>
      </c>
      <c r="I23" s="353">
        <f t="shared" si="2"/>
        <v>29.610401813504975</v>
      </c>
      <c r="J23"/>
      <c r="K23"/>
      <c r="L23"/>
    </row>
    <row r="24" spans="1:12" ht="26.25" customHeight="1">
      <c r="A24" s="445" t="s">
        <v>289</v>
      </c>
      <c r="B24" s="348">
        <v>48649</v>
      </c>
      <c r="C24" s="348">
        <v>170271</v>
      </c>
      <c r="D24" s="349">
        <v>293595</v>
      </c>
      <c r="E24" s="348">
        <v>880785</v>
      </c>
      <c r="F24" s="426">
        <v>6848</v>
      </c>
      <c r="G24" s="435">
        <v>221</v>
      </c>
      <c r="H24" s="432">
        <f t="shared" si="1"/>
        <v>7069</v>
      </c>
      <c r="I24" s="353">
        <f t="shared" si="2"/>
        <v>24.077385514058484</v>
      </c>
      <c r="J24"/>
      <c r="K24"/>
      <c r="L24"/>
    </row>
    <row r="25" spans="1:12" ht="26.25" customHeight="1">
      <c r="A25" s="445" t="s">
        <v>290</v>
      </c>
      <c r="B25" s="348">
        <v>2004</v>
      </c>
      <c r="C25" s="348">
        <v>7015</v>
      </c>
      <c r="D25" s="349">
        <v>33487</v>
      </c>
      <c r="E25" s="348">
        <v>100461</v>
      </c>
      <c r="F25" s="426">
        <v>611</v>
      </c>
      <c r="G25" s="435">
        <v>119</v>
      </c>
      <c r="H25" s="432">
        <f t="shared" si="1"/>
        <v>730</v>
      </c>
      <c r="I25" s="353">
        <f t="shared" si="2"/>
        <v>21.79950428524502</v>
      </c>
      <c r="J25"/>
      <c r="K25"/>
      <c r="L25"/>
    </row>
    <row r="26" spans="1:12" ht="16.5" customHeight="1">
      <c r="A26" s="358" t="s">
        <v>291</v>
      </c>
      <c r="B26" s="348">
        <v>42057</v>
      </c>
      <c r="C26" s="348">
        <v>139280</v>
      </c>
      <c r="D26" s="349">
        <v>433273</v>
      </c>
      <c r="E26" s="348">
        <v>1144259</v>
      </c>
      <c r="F26" s="434">
        <v>2745</v>
      </c>
      <c r="G26" s="435">
        <v>7761</v>
      </c>
      <c r="H26" s="432">
        <f t="shared" si="1"/>
        <v>10506</v>
      </c>
      <c r="I26" s="353">
        <f t="shared" si="2"/>
        <v>24.247991451117425</v>
      </c>
      <c r="J26"/>
      <c r="K26"/>
      <c r="L26"/>
    </row>
    <row r="27" spans="1:12" ht="16.5" customHeight="1">
      <c r="A27" s="358" t="s">
        <v>292</v>
      </c>
      <c r="B27" s="348">
        <v>3</v>
      </c>
      <c r="C27" s="348">
        <v>6</v>
      </c>
      <c r="D27" s="349">
        <v>12568</v>
      </c>
      <c r="E27" s="348">
        <v>26393</v>
      </c>
      <c r="F27" s="434">
        <v>310</v>
      </c>
      <c r="G27" s="435">
        <v>0</v>
      </c>
      <c r="H27" s="432">
        <f t="shared" si="1"/>
        <v>310</v>
      </c>
      <c r="I27" s="353">
        <f t="shared" si="2"/>
        <v>24.665817950350096</v>
      </c>
      <c r="J27"/>
      <c r="K27"/>
      <c r="L27"/>
    </row>
    <row r="28" spans="1:12" ht="16.5" customHeight="1">
      <c r="A28" s="358" t="s">
        <v>293</v>
      </c>
      <c r="B28" s="339">
        <v>11642</v>
      </c>
      <c r="C28" s="339">
        <v>39685</v>
      </c>
      <c r="D28" s="364">
        <v>203491</v>
      </c>
      <c r="E28" s="339">
        <v>467345</v>
      </c>
      <c r="F28" s="429">
        <v>3835</v>
      </c>
      <c r="G28" s="430">
        <v>0</v>
      </c>
      <c r="H28" s="432">
        <f t="shared" si="1"/>
        <v>3835</v>
      </c>
      <c r="I28" s="353">
        <f t="shared" si="2"/>
        <v>18.846042331110464</v>
      </c>
      <c r="J28"/>
      <c r="K28"/>
      <c r="L28"/>
    </row>
    <row r="29" spans="1:12" ht="16.5" customHeight="1">
      <c r="A29" s="424" t="s">
        <v>294</v>
      </c>
      <c r="B29" s="329">
        <f aca="true" t="shared" si="8" ref="B29:G29">B30</f>
        <v>8510</v>
      </c>
      <c r="C29" s="329">
        <f t="shared" si="8"/>
        <v>28000</v>
      </c>
      <c r="D29" s="329">
        <f t="shared" si="8"/>
        <v>44540</v>
      </c>
      <c r="E29" s="329">
        <f t="shared" si="8"/>
        <v>144000</v>
      </c>
      <c r="F29" s="466">
        <f t="shared" si="8"/>
        <v>1150</v>
      </c>
      <c r="G29" s="437">
        <f t="shared" si="8"/>
        <v>0</v>
      </c>
      <c r="H29" s="459">
        <f t="shared" si="1"/>
        <v>1150</v>
      </c>
      <c r="I29" s="330">
        <f t="shared" si="2"/>
        <v>25.819488100583744</v>
      </c>
      <c r="J29"/>
      <c r="K29"/>
      <c r="L29"/>
    </row>
    <row r="30" spans="1:12" ht="16.5" customHeight="1" thickBot="1">
      <c r="A30" s="438" t="s">
        <v>295</v>
      </c>
      <c r="B30" s="366">
        <v>8510</v>
      </c>
      <c r="C30" s="367">
        <v>28000</v>
      </c>
      <c r="D30" s="368">
        <v>44540</v>
      </c>
      <c r="E30" s="367">
        <v>144000</v>
      </c>
      <c r="F30" s="439">
        <v>1150</v>
      </c>
      <c r="G30" s="440">
        <v>0</v>
      </c>
      <c r="H30" s="467">
        <f t="shared" si="1"/>
        <v>1150</v>
      </c>
      <c r="I30" s="468">
        <f t="shared" si="2"/>
        <v>25.819488100583744</v>
      </c>
      <c r="J30"/>
      <c r="K30"/>
      <c r="L30"/>
    </row>
    <row r="31" spans="1:12" ht="16.5" customHeight="1" thickBot="1">
      <c r="A31" s="441" t="s">
        <v>48</v>
      </c>
      <c r="B31" s="374">
        <v>872</v>
      </c>
      <c r="C31" s="374">
        <v>2372</v>
      </c>
      <c r="D31" s="375">
        <v>11335</v>
      </c>
      <c r="E31" s="374">
        <v>29017</v>
      </c>
      <c r="F31" s="442">
        <v>102</v>
      </c>
      <c r="G31" s="443">
        <v>37</v>
      </c>
      <c r="H31" s="459">
        <f t="shared" si="1"/>
        <v>139</v>
      </c>
      <c r="I31" s="379">
        <f t="shared" si="2"/>
        <v>12.262902514336126</v>
      </c>
      <c r="J31"/>
      <c r="K31"/>
      <c r="L31"/>
    </row>
    <row r="32" spans="1:12" ht="16.5" customHeight="1" thickBot="1">
      <c r="A32" s="441" t="s">
        <v>296</v>
      </c>
      <c r="B32" s="374">
        <f aca="true" t="shared" si="9" ref="B32:G32">B9+B12</f>
        <v>23678</v>
      </c>
      <c r="C32" s="374">
        <f t="shared" si="9"/>
        <v>71843.1</v>
      </c>
      <c r="D32" s="374">
        <f t="shared" si="9"/>
        <v>235177</v>
      </c>
      <c r="E32" s="374">
        <f t="shared" si="9"/>
        <v>535766.2</v>
      </c>
      <c r="F32" s="442">
        <f t="shared" si="9"/>
        <v>1197</v>
      </c>
      <c r="G32" s="442">
        <f t="shared" si="9"/>
        <v>3057</v>
      </c>
      <c r="H32" s="469">
        <f t="shared" si="1"/>
        <v>4254</v>
      </c>
      <c r="I32" s="379">
        <f t="shared" si="2"/>
        <v>18.088503552643328</v>
      </c>
      <c r="J32"/>
      <c r="K32"/>
      <c r="L32"/>
    </row>
    <row r="33" spans="1:12" ht="16.5" customHeight="1" thickBot="1">
      <c r="A33" s="441" t="s">
        <v>297</v>
      </c>
      <c r="B33" s="381">
        <f aca="true" t="shared" si="10" ref="B33:G33">B17+B20+B29</f>
        <v>291923</v>
      </c>
      <c r="C33" s="381">
        <f t="shared" si="10"/>
        <v>1027787</v>
      </c>
      <c r="D33" s="381">
        <f t="shared" si="10"/>
        <v>1695880</v>
      </c>
      <c r="E33" s="381">
        <f t="shared" si="10"/>
        <v>4868758</v>
      </c>
      <c r="F33" s="442">
        <f t="shared" si="10"/>
        <v>31639</v>
      </c>
      <c r="G33" s="442">
        <f t="shared" si="10"/>
        <v>8251</v>
      </c>
      <c r="H33" s="469">
        <f t="shared" si="1"/>
        <v>39890</v>
      </c>
      <c r="I33" s="379">
        <f t="shared" si="2"/>
        <v>23.521711441847298</v>
      </c>
      <c r="J33"/>
      <c r="K33"/>
      <c r="L33"/>
    </row>
    <row r="34" spans="1:12" ht="22.5" customHeight="1" thickBot="1">
      <c r="A34" s="382" t="s">
        <v>49</v>
      </c>
      <c r="B34" s="383">
        <f aca="true" t="shared" si="11" ref="B34:H34">B31+B32+B33</f>
        <v>316473</v>
      </c>
      <c r="C34" s="383">
        <f t="shared" si="11"/>
        <v>1102002.1</v>
      </c>
      <c r="D34" s="383">
        <f t="shared" si="11"/>
        <v>1942392</v>
      </c>
      <c r="E34" s="383">
        <f t="shared" si="11"/>
        <v>5433541.2</v>
      </c>
      <c r="F34" s="470">
        <f t="shared" si="11"/>
        <v>32938</v>
      </c>
      <c r="G34" s="444">
        <f t="shared" si="11"/>
        <v>11345</v>
      </c>
      <c r="H34" s="444">
        <f t="shared" si="11"/>
        <v>44283</v>
      </c>
      <c r="I34" s="471">
        <f t="shared" si="2"/>
        <v>22.79817874043962</v>
      </c>
      <c r="J34"/>
      <c r="K34"/>
      <c r="L34"/>
    </row>
    <row r="35" spans="1:12" ht="15">
      <c r="A35" s="3" t="s">
        <v>359</v>
      </c>
      <c r="F35"/>
      <c r="G35"/>
      <c r="H35"/>
      <c r="I35"/>
      <c r="J35"/>
      <c r="K35"/>
      <c r="L35"/>
    </row>
    <row r="36" spans="2:12" ht="15">
      <c r="B36"/>
      <c r="C36"/>
      <c r="D36"/>
      <c r="E36"/>
      <c r="F36"/>
      <c r="G36"/>
      <c r="H36"/>
      <c r="I36"/>
      <c r="J36"/>
      <c r="K36"/>
      <c r="L36"/>
    </row>
    <row r="37" spans="1:12" ht="15">
      <c r="A37"/>
      <c r="B37"/>
      <c r="C37"/>
      <c r="D37"/>
      <c r="E37"/>
      <c r="F37"/>
      <c r="G37"/>
      <c r="H37"/>
      <c r="I37"/>
      <c r="J37"/>
      <c r="K37"/>
      <c r="L37"/>
    </row>
    <row r="38" spans="1:12" ht="15">
      <c r="A38"/>
      <c r="B38"/>
      <c r="C38"/>
      <c r="D38"/>
      <c r="E38"/>
      <c r="F38"/>
      <c r="G38"/>
      <c r="H38"/>
      <c r="I38"/>
      <c r="J38"/>
      <c r="K38"/>
      <c r="L38"/>
    </row>
    <row r="39" spans="1:12" ht="15">
      <c r="A39"/>
      <c r="B39"/>
      <c r="C39"/>
      <c r="D39"/>
      <c r="E39"/>
      <c r="F39"/>
      <c r="G39"/>
      <c r="H39"/>
      <c r="I39"/>
      <c r="J39"/>
      <c r="K39"/>
      <c r="L39"/>
    </row>
    <row r="40" spans="1:7" ht="15">
      <c r="A40"/>
      <c r="B40"/>
      <c r="C40"/>
      <c r="D40"/>
      <c r="E40"/>
      <c r="F40"/>
      <c r="G40"/>
    </row>
    <row r="41" spans="1:7" ht="15">
      <c r="A41"/>
      <c r="B41"/>
      <c r="C41"/>
      <c r="D41"/>
      <c r="E41"/>
      <c r="F41"/>
      <c r="G41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  <row r="54" spans="1:7" ht="15">
      <c r="A54"/>
      <c r="B54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7" spans="1:7" ht="15">
      <c r="A57"/>
      <c r="B57"/>
      <c r="C57"/>
      <c r="D57"/>
      <c r="E57"/>
      <c r="F57"/>
      <c r="G57"/>
    </row>
    <row r="58" spans="1:7" ht="15">
      <c r="A58"/>
      <c r="B58"/>
      <c r="C58"/>
      <c r="D58"/>
      <c r="E58"/>
      <c r="F58"/>
      <c r="G58"/>
    </row>
    <row r="59" spans="1:7" ht="15">
      <c r="A59"/>
      <c r="B59"/>
      <c r="C59"/>
      <c r="D59"/>
      <c r="E59"/>
      <c r="F59"/>
      <c r="G59"/>
    </row>
    <row r="60" spans="1:7" ht="15">
      <c r="A60"/>
      <c r="B60"/>
      <c r="C60"/>
      <c r="D60"/>
      <c r="E60"/>
      <c r="F60"/>
      <c r="G60"/>
    </row>
    <row r="61" spans="1:7" ht="15">
      <c r="A61"/>
      <c r="B61"/>
      <c r="C61"/>
      <c r="D61"/>
      <c r="E61"/>
      <c r="F61"/>
      <c r="G61"/>
    </row>
  </sheetData>
  <sheetProtection/>
  <mergeCells count="13">
    <mergeCell ref="I7:I8"/>
    <mergeCell ref="A1:I1"/>
    <mergeCell ref="A2:I2"/>
    <mergeCell ref="A3:I3"/>
    <mergeCell ref="A4:I4"/>
    <mergeCell ref="D6:E6"/>
    <mergeCell ref="B5:E5"/>
    <mergeCell ref="B6:C6"/>
    <mergeCell ref="F5:H5"/>
    <mergeCell ref="F6:H6"/>
    <mergeCell ref="F7:F8"/>
    <mergeCell ref="G7:G8"/>
    <mergeCell ref="H7:H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H10:I20 H21:I34 B21:G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1"/>
  <sheetViews>
    <sheetView zoomScale="90" zoomScaleNormal="90" zoomScalePageLayoutView="0" workbookViewId="0" topLeftCell="A22">
      <selection activeCell="A35" sqref="A35"/>
    </sheetView>
  </sheetViews>
  <sheetFormatPr defaultColWidth="9.140625" defaultRowHeight="12.75"/>
  <cols>
    <col min="1" max="1" width="33.28125" style="205" customWidth="1"/>
    <col min="2" max="2" width="9.28125" style="205" customWidth="1"/>
    <col min="3" max="3" width="11.140625" style="205" customWidth="1"/>
    <col min="4" max="4" width="10.7109375" style="205" customWidth="1"/>
    <col min="5" max="5" width="11.7109375" style="205" customWidth="1"/>
    <col min="6" max="6" width="9.7109375" style="205" customWidth="1"/>
    <col min="7" max="7" width="9.421875" style="205" customWidth="1"/>
    <col min="8" max="8" width="9.7109375" style="205" customWidth="1"/>
    <col min="9" max="9" width="14.28125" style="205" customWidth="1"/>
    <col min="10" max="16384" width="9.140625" style="2" customWidth="1"/>
  </cols>
  <sheetData>
    <row r="1" spans="1:20" ht="18" customHeight="1">
      <c r="A1" s="662" t="s">
        <v>42</v>
      </c>
      <c r="B1" s="662"/>
      <c r="C1" s="662"/>
      <c r="D1" s="662"/>
      <c r="E1" s="662"/>
      <c r="F1" s="662"/>
      <c r="G1" s="662"/>
      <c r="H1" s="662"/>
      <c r="I1" s="662"/>
      <c r="J1"/>
      <c r="K1"/>
      <c r="L1"/>
      <c r="M1"/>
      <c r="N1"/>
      <c r="O1"/>
      <c r="P1"/>
      <c r="Q1"/>
      <c r="R1"/>
      <c r="S1"/>
      <c r="T1"/>
    </row>
    <row r="2" spans="1:20" ht="18" customHeight="1">
      <c r="A2" s="663" t="s">
        <v>261</v>
      </c>
      <c r="B2" s="663"/>
      <c r="C2" s="663"/>
      <c r="D2" s="663"/>
      <c r="E2" s="663"/>
      <c r="F2" s="663"/>
      <c r="G2" s="663"/>
      <c r="H2" s="663"/>
      <c r="I2" s="663"/>
      <c r="J2"/>
      <c r="K2"/>
      <c r="L2"/>
      <c r="M2"/>
      <c r="N2"/>
      <c r="O2"/>
      <c r="P2"/>
      <c r="Q2"/>
      <c r="R2"/>
      <c r="S2"/>
      <c r="T2"/>
    </row>
    <row r="3" spans="1:20" ht="18" customHeight="1">
      <c r="A3" s="664" t="s">
        <v>157</v>
      </c>
      <c r="B3" s="664"/>
      <c r="C3" s="664"/>
      <c r="D3" s="664"/>
      <c r="E3" s="664"/>
      <c r="F3" s="664"/>
      <c r="G3" s="664"/>
      <c r="H3" s="664"/>
      <c r="I3" s="664"/>
      <c r="J3"/>
      <c r="K3"/>
      <c r="L3"/>
      <c r="M3"/>
      <c r="N3"/>
      <c r="O3"/>
      <c r="P3"/>
      <c r="Q3"/>
      <c r="R3"/>
      <c r="S3"/>
      <c r="T3"/>
    </row>
    <row r="4" spans="1:20" ht="18" customHeight="1">
      <c r="A4" s="665">
        <v>41974</v>
      </c>
      <c r="B4" s="665"/>
      <c r="C4" s="665"/>
      <c r="D4" s="665"/>
      <c r="E4" s="665"/>
      <c r="F4" s="665"/>
      <c r="G4" s="665"/>
      <c r="H4" s="665"/>
      <c r="I4" s="665"/>
      <c r="J4"/>
      <c r="K4"/>
      <c r="L4"/>
      <c r="M4"/>
      <c r="N4"/>
      <c r="O4"/>
      <c r="P4"/>
      <c r="Q4"/>
      <c r="R4"/>
      <c r="S4"/>
      <c r="T4"/>
    </row>
    <row r="5" spans="1:20" ht="19.5" customHeight="1">
      <c r="A5" s="324"/>
      <c r="B5" s="666" t="s">
        <v>51</v>
      </c>
      <c r="C5" s="666"/>
      <c r="D5" s="666"/>
      <c r="E5" s="666"/>
      <c r="F5" s="667" t="s">
        <v>52</v>
      </c>
      <c r="G5" s="668"/>
      <c r="H5" s="669"/>
      <c r="I5" s="323"/>
      <c r="J5"/>
      <c r="K5"/>
      <c r="L5"/>
      <c r="M5"/>
      <c r="N5"/>
      <c r="O5"/>
      <c r="P5"/>
      <c r="Q5"/>
      <c r="R5"/>
      <c r="S5"/>
      <c r="T5"/>
    </row>
    <row r="6" spans="1:20" ht="19.5" customHeight="1">
      <c r="A6" s="325" t="s">
        <v>162</v>
      </c>
      <c r="B6" s="666" t="s">
        <v>190</v>
      </c>
      <c r="C6" s="666"/>
      <c r="D6" s="666" t="s">
        <v>53</v>
      </c>
      <c r="E6" s="666"/>
      <c r="F6" s="661" t="s">
        <v>163</v>
      </c>
      <c r="G6" s="670"/>
      <c r="H6" s="671"/>
      <c r="I6" s="326" t="s">
        <v>125</v>
      </c>
      <c r="J6"/>
      <c r="K6"/>
      <c r="L6"/>
      <c r="M6"/>
      <c r="N6"/>
      <c r="O6"/>
      <c r="P6"/>
      <c r="Q6"/>
      <c r="R6"/>
      <c r="S6"/>
      <c r="T6"/>
    </row>
    <row r="7" spans="1:20" ht="19.5" customHeight="1">
      <c r="A7" s="325" t="s">
        <v>95</v>
      </c>
      <c r="B7" s="223" t="s">
        <v>54</v>
      </c>
      <c r="C7" s="223" t="s">
        <v>55</v>
      </c>
      <c r="D7" s="223" t="s">
        <v>54</v>
      </c>
      <c r="E7" s="223" t="s">
        <v>55</v>
      </c>
      <c r="F7" s="675" t="s">
        <v>23</v>
      </c>
      <c r="G7" s="672" t="s">
        <v>26</v>
      </c>
      <c r="H7" s="672" t="s">
        <v>2</v>
      </c>
      <c r="I7" s="674" t="s">
        <v>56</v>
      </c>
      <c r="J7"/>
      <c r="K7"/>
      <c r="L7"/>
      <c r="M7"/>
      <c r="N7"/>
      <c r="O7"/>
      <c r="P7"/>
      <c r="Q7"/>
      <c r="R7"/>
      <c r="S7"/>
      <c r="T7"/>
    </row>
    <row r="8" spans="1:20" ht="19.5" customHeight="1">
      <c r="A8" s="327"/>
      <c r="B8" s="223" t="s">
        <v>57</v>
      </c>
      <c r="C8" s="234" t="s">
        <v>50</v>
      </c>
      <c r="D8" s="223" t="s">
        <v>57</v>
      </c>
      <c r="E8" s="234" t="s">
        <v>50</v>
      </c>
      <c r="F8" s="676"/>
      <c r="G8" s="673"/>
      <c r="H8" s="673"/>
      <c r="I8" s="670"/>
      <c r="J8"/>
      <c r="K8"/>
      <c r="L8"/>
      <c r="M8"/>
      <c r="N8"/>
      <c r="O8"/>
      <c r="P8"/>
      <c r="Q8"/>
      <c r="R8"/>
      <c r="S8"/>
      <c r="T8"/>
    </row>
    <row r="9" spans="1:20" ht="15.75" customHeight="1">
      <c r="A9" s="328" t="s">
        <v>274</v>
      </c>
      <c r="B9" s="329">
        <f aca="true" t="shared" si="0" ref="B9:H9">SUM(B10:B11)</f>
        <v>8105</v>
      </c>
      <c r="C9" s="329">
        <f t="shared" si="0"/>
        <v>12653.2</v>
      </c>
      <c r="D9" s="329">
        <f t="shared" si="0"/>
        <v>90381</v>
      </c>
      <c r="E9" s="329">
        <f t="shared" si="0"/>
        <v>143574.2</v>
      </c>
      <c r="F9" s="329">
        <f t="shared" si="0"/>
        <v>0</v>
      </c>
      <c r="G9" s="329">
        <f t="shared" si="0"/>
        <v>1546.2</v>
      </c>
      <c r="H9" s="329">
        <f t="shared" si="0"/>
        <v>1546.2</v>
      </c>
      <c r="I9" s="330">
        <f aca="true" t="shared" si="1" ref="I9:I34">(H9/D9)*1000</f>
        <v>17.107577920138084</v>
      </c>
      <c r="J9"/>
      <c r="K9"/>
      <c r="L9"/>
      <c r="M9"/>
      <c r="N9"/>
      <c r="O9"/>
      <c r="P9"/>
      <c r="Q9"/>
      <c r="R9"/>
      <c r="S9"/>
      <c r="T9"/>
    </row>
    <row r="10" spans="1:20" ht="15.75" customHeight="1">
      <c r="A10" s="331" t="s">
        <v>275</v>
      </c>
      <c r="B10" s="332">
        <v>8040</v>
      </c>
      <c r="C10" s="332">
        <v>12510.2</v>
      </c>
      <c r="D10" s="333">
        <v>86004</v>
      </c>
      <c r="E10" s="332">
        <v>133822.2</v>
      </c>
      <c r="F10" s="334">
        <v>0</v>
      </c>
      <c r="G10" s="335">
        <v>1477.5</v>
      </c>
      <c r="H10" s="336">
        <f>G10+F10</f>
        <v>1477.5</v>
      </c>
      <c r="I10" s="337">
        <f t="shared" si="1"/>
        <v>17.179433514720248</v>
      </c>
      <c r="J10"/>
      <c r="K10"/>
      <c r="L10"/>
      <c r="M10"/>
      <c r="N10"/>
      <c r="O10"/>
      <c r="P10"/>
      <c r="Q10"/>
      <c r="R10"/>
      <c r="S10"/>
      <c r="T10"/>
    </row>
    <row r="11" spans="1:20" ht="15.75" customHeight="1">
      <c r="A11" s="338" t="s">
        <v>276</v>
      </c>
      <c r="B11" s="339">
        <v>65</v>
      </c>
      <c r="C11" s="339">
        <v>143</v>
      </c>
      <c r="D11" s="340">
        <v>4377</v>
      </c>
      <c r="E11" s="339">
        <v>9752</v>
      </c>
      <c r="F11" s="341">
        <v>0</v>
      </c>
      <c r="G11" s="342">
        <v>68.7</v>
      </c>
      <c r="H11" s="343">
        <f>G11+F11</f>
        <v>68.7</v>
      </c>
      <c r="I11" s="344">
        <f t="shared" si="1"/>
        <v>15.695681973954764</v>
      </c>
      <c r="J11"/>
      <c r="K11"/>
      <c r="L11"/>
      <c r="M11"/>
      <c r="N11"/>
      <c r="O11"/>
      <c r="P11"/>
      <c r="Q11"/>
      <c r="R11"/>
      <c r="S11"/>
      <c r="T11"/>
    </row>
    <row r="12" spans="1:20" ht="15.75" customHeight="1">
      <c r="A12" s="328" t="s">
        <v>277</v>
      </c>
      <c r="B12" s="329">
        <f aca="true" t="shared" si="2" ref="B12:H12">B13</f>
        <v>13262.4</v>
      </c>
      <c r="C12" s="329">
        <f t="shared" si="2"/>
        <v>47534.5</v>
      </c>
      <c r="D12" s="329">
        <f t="shared" si="2"/>
        <v>143939</v>
      </c>
      <c r="E12" s="329">
        <f t="shared" si="2"/>
        <v>355130.2</v>
      </c>
      <c r="F12" s="329">
        <f t="shared" si="2"/>
        <v>1331.3</v>
      </c>
      <c r="G12" s="329">
        <f t="shared" si="2"/>
        <v>1039.9</v>
      </c>
      <c r="H12" s="329">
        <f t="shared" si="2"/>
        <v>2371.2</v>
      </c>
      <c r="I12" s="330">
        <f t="shared" si="1"/>
        <v>16.473645085765497</v>
      </c>
      <c r="J12"/>
      <c r="K12"/>
      <c r="L12"/>
      <c r="M12"/>
      <c r="N12"/>
      <c r="O12"/>
      <c r="P12"/>
      <c r="Q12"/>
      <c r="R12"/>
      <c r="S12"/>
      <c r="T12"/>
    </row>
    <row r="13" spans="1:20" ht="15.75" customHeight="1">
      <c r="A13" s="345" t="s">
        <v>278</v>
      </c>
      <c r="B13" s="332">
        <f aca="true" t="shared" si="3" ref="B13:H13">SUM(B14:B16)</f>
        <v>13262.4</v>
      </c>
      <c r="C13" s="332">
        <f t="shared" si="3"/>
        <v>47534.5</v>
      </c>
      <c r="D13" s="332">
        <f t="shared" si="3"/>
        <v>143939</v>
      </c>
      <c r="E13" s="332">
        <f t="shared" si="3"/>
        <v>355130.2</v>
      </c>
      <c r="F13" s="332">
        <f t="shared" si="3"/>
        <v>1331.3</v>
      </c>
      <c r="G13" s="332">
        <f t="shared" si="3"/>
        <v>1039.9</v>
      </c>
      <c r="H13" s="332">
        <f t="shared" si="3"/>
        <v>2371.2</v>
      </c>
      <c r="I13" s="337">
        <f t="shared" si="1"/>
        <v>16.473645085765497</v>
      </c>
      <c r="J13"/>
      <c r="K13"/>
      <c r="L13"/>
      <c r="M13"/>
      <c r="N13"/>
      <c r="O13"/>
      <c r="P13"/>
      <c r="Q13"/>
      <c r="R13"/>
      <c r="S13"/>
      <c r="T13"/>
    </row>
    <row r="14" spans="1:20" ht="15.75" customHeight="1">
      <c r="A14" s="347" t="s">
        <v>279</v>
      </c>
      <c r="B14" s="348">
        <v>3820</v>
      </c>
      <c r="C14" s="348">
        <v>20246</v>
      </c>
      <c r="D14" s="349">
        <v>11973</v>
      </c>
      <c r="E14" s="348">
        <v>57685.2</v>
      </c>
      <c r="F14" s="350">
        <v>435</v>
      </c>
      <c r="G14" s="351">
        <v>0</v>
      </c>
      <c r="H14" s="352">
        <f>G14+F14</f>
        <v>435</v>
      </c>
      <c r="I14" s="353">
        <f t="shared" si="1"/>
        <v>36.3317464294663</v>
      </c>
      <c r="J14"/>
      <c r="K14"/>
      <c r="L14"/>
      <c r="M14"/>
      <c r="N14"/>
      <c r="O14"/>
      <c r="P14"/>
      <c r="Q14"/>
      <c r="R14"/>
      <c r="S14"/>
      <c r="T14"/>
    </row>
    <row r="15" spans="1:20" ht="15.75" customHeight="1">
      <c r="A15" s="347" t="s">
        <v>280</v>
      </c>
      <c r="B15" s="348">
        <v>4187.4</v>
      </c>
      <c r="C15" s="348">
        <v>14760.6</v>
      </c>
      <c r="D15" s="349">
        <v>99366</v>
      </c>
      <c r="E15" s="348">
        <v>227714</v>
      </c>
      <c r="F15" s="350">
        <v>896.3</v>
      </c>
      <c r="G15" s="351">
        <v>0</v>
      </c>
      <c r="H15" s="354">
        <f>G15+F15</f>
        <v>896.3</v>
      </c>
      <c r="I15" s="355">
        <f t="shared" si="1"/>
        <v>9.020187991868445</v>
      </c>
      <c r="J15"/>
      <c r="K15"/>
      <c r="L15"/>
      <c r="M15"/>
      <c r="N15"/>
      <c r="O15"/>
      <c r="P15"/>
      <c r="Q15"/>
      <c r="R15"/>
      <c r="S15"/>
      <c r="T15"/>
    </row>
    <row r="16" spans="1:20" ht="15.75" customHeight="1">
      <c r="A16" s="338" t="s">
        <v>281</v>
      </c>
      <c r="B16" s="339">
        <v>5255</v>
      </c>
      <c r="C16" s="339">
        <v>12527.9</v>
      </c>
      <c r="D16" s="340">
        <v>32600</v>
      </c>
      <c r="E16" s="339">
        <v>69731</v>
      </c>
      <c r="F16" s="341">
        <v>0</v>
      </c>
      <c r="G16" s="356">
        <v>1039.9</v>
      </c>
      <c r="H16" s="343">
        <f>G16+F16</f>
        <v>1039.9</v>
      </c>
      <c r="I16" s="344">
        <f t="shared" si="1"/>
        <v>31.898773006134974</v>
      </c>
      <c r="J16"/>
      <c r="K16"/>
      <c r="L16"/>
      <c r="M16"/>
      <c r="N16"/>
      <c r="O16"/>
      <c r="P16"/>
      <c r="Q16"/>
      <c r="R16"/>
      <c r="S16"/>
      <c r="T16"/>
    </row>
    <row r="17" spans="1:20" ht="15.75" customHeight="1">
      <c r="A17" s="328" t="s">
        <v>282</v>
      </c>
      <c r="B17" s="329">
        <f aca="true" t="shared" si="4" ref="B17:H17">SUM(B18:B19)</f>
        <v>3254</v>
      </c>
      <c r="C17" s="329">
        <f t="shared" si="4"/>
        <v>11750.2</v>
      </c>
      <c r="D17" s="329">
        <f t="shared" si="4"/>
        <v>26251.8</v>
      </c>
      <c r="E17" s="329">
        <f t="shared" si="4"/>
        <v>75295.5</v>
      </c>
      <c r="F17" s="329">
        <f t="shared" si="4"/>
        <v>238.6</v>
      </c>
      <c r="G17" s="329">
        <f t="shared" si="4"/>
        <v>163.8</v>
      </c>
      <c r="H17" s="329">
        <f t="shared" si="4"/>
        <v>402.4</v>
      </c>
      <c r="I17" s="330">
        <f t="shared" si="1"/>
        <v>15.328472714251975</v>
      </c>
      <c r="J17"/>
      <c r="K17"/>
      <c r="L17"/>
      <c r="M17"/>
      <c r="N17"/>
      <c r="O17"/>
      <c r="P17"/>
      <c r="Q17"/>
      <c r="R17"/>
      <c r="S17"/>
      <c r="T17"/>
    </row>
    <row r="18" spans="1:20" ht="15.75" customHeight="1">
      <c r="A18" s="345" t="s">
        <v>283</v>
      </c>
      <c r="B18" s="332">
        <v>1683</v>
      </c>
      <c r="C18" s="332">
        <v>3901.2</v>
      </c>
      <c r="D18" s="333">
        <v>20115</v>
      </c>
      <c r="E18" s="332">
        <v>46179.5</v>
      </c>
      <c r="F18" s="334">
        <v>2</v>
      </c>
      <c r="G18" s="346">
        <v>163.8</v>
      </c>
      <c r="H18" s="336">
        <f>G18+F18</f>
        <v>165.8</v>
      </c>
      <c r="I18" s="337">
        <f t="shared" si="1"/>
        <v>8.242605021128512</v>
      </c>
      <c r="J18"/>
      <c r="K18"/>
      <c r="L18"/>
      <c r="M18"/>
      <c r="N18"/>
      <c r="O18"/>
      <c r="P18"/>
      <c r="Q18"/>
      <c r="R18"/>
      <c r="S18"/>
      <c r="T18"/>
    </row>
    <row r="19" spans="1:20" ht="15.75" customHeight="1">
      <c r="A19" s="338" t="s">
        <v>284</v>
      </c>
      <c r="B19" s="339">
        <v>1571</v>
      </c>
      <c r="C19" s="339">
        <v>7849</v>
      </c>
      <c r="D19" s="340">
        <v>6136.8</v>
      </c>
      <c r="E19" s="339">
        <v>29116</v>
      </c>
      <c r="F19" s="341">
        <v>236.6</v>
      </c>
      <c r="G19" s="357">
        <v>0</v>
      </c>
      <c r="H19" s="343">
        <f>G19+F19</f>
        <v>236.6</v>
      </c>
      <c r="I19" s="344">
        <f t="shared" si="1"/>
        <v>38.55429539825316</v>
      </c>
      <c r="J19"/>
      <c r="K19"/>
      <c r="L19"/>
      <c r="M19"/>
      <c r="N19"/>
      <c r="O19"/>
      <c r="P19"/>
      <c r="Q19"/>
      <c r="R19"/>
      <c r="S19"/>
      <c r="T19"/>
    </row>
    <row r="20" spans="1:20" ht="15.75" customHeight="1">
      <c r="A20" s="328" t="s">
        <v>285</v>
      </c>
      <c r="B20" s="329">
        <f aca="true" t="shared" si="5" ref="B20:H20">B21+B26+B27+B28</f>
        <v>260133</v>
      </c>
      <c r="C20" s="329">
        <f t="shared" si="5"/>
        <v>914766.815</v>
      </c>
      <c r="D20" s="329">
        <f t="shared" si="5"/>
        <v>1640790</v>
      </c>
      <c r="E20" s="329">
        <f t="shared" si="5"/>
        <v>4700645.316</v>
      </c>
      <c r="F20" s="329">
        <f t="shared" si="5"/>
        <v>30084.000000000004</v>
      </c>
      <c r="G20" s="329">
        <f t="shared" si="5"/>
        <v>10246.4</v>
      </c>
      <c r="H20" s="329">
        <f t="shared" si="5"/>
        <v>40330.40000000001</v>
      </c>
      <c r="I20" s="330">
        <f t="shared" si="1"/>
        <v>24.57986701527923</v>
      </c>
      <c r="J20"/>
      <c r="K20"/>
      <c r="L20"/>
      <c r="M20"/>
      <c r="N20"/>
      <c r="O20"/>
      <c r="P20"/>
      <c r="Q20"/>
      <c r="R20"/>
      <c r="S20"/>
      <c r="T20"/>
    </row>
    <row r="21" spans="1:20" ht="15.75" customHeight="1">
      <c r="A21" s="358" t="s">
        <v>286</v>
      </c>
      <c r="B21" s="332">
        <f aca="true" t="shared" si="6" ref="B21:H21">SUM(B22:B25)</f>
        <v>206340</v>
      </c>
      <c r="C21" s="332">
        <f t="shared" si="6"/>
        <v>735271</v>
      </c>
      <c r="D21" s="332">
        <f t="shared" si="6"/>
        <v>995079</v>
      </c>
      <c r="E21" s="332">
        <f t="shared" si="6"/>
        <v>3072422</v>
      </c>
      <c r="F21" s="332">
        <f t="shared" si="6"/>
        <v>22346.200000000004</v>
      </c>
      <c r="G21" s="332">
        <f t="shared" si="6"/>
        <v>297.4</v>
      </c>
      <c r="H21" s="332">
        <f t="shared" si="6"/>
        <v>22643.600000000002</v>
      </c>
      <c r="I21" s="337">
        <f t="shared" si="1"/>
        <v>22.755580210214468</v>
      </c>
      <c r="J21"/>
      <c r="K21"/>
      <c r="L21"/>
      <c r="M21"/>
      <c r="N21"/>
      <c r="O21"/>
      <c r="P21"/>
      <c r="Q21"/>
      <c r="R21"/>
      <c r="S21"/>
      <c r="T21"/>
    </row>
    <row r="22" spans="1:20" ht="18" customHeight="1">
      <c r="A22" s="358" t="s">
        <v>287</v>
      </c>
      <c r="B22" s="348">
        <v>120480</v>
      </c>
      <c r="C22" s="348">
        <v>421679</v>
      </c>
      <c r="D22" s="349">
        <v>501214</v>
      </c>
      <c r="E22" s="348">
        <v>1503640</v>
      </c>
      <c r="F22" s="350">
        <v>10803.7</v>
      </c>
      <c r="G22" s="359">
        <v>0</v>
      </c>
      <c r="H22" s="354">
        <f aca="true" t="shared" si="7" ref="H22:H28">G22+F22</f>
        <v>10803.7</v>
      </c>
      <c r="I22" s="355">
        <f t="shared" si="1"/>
        <v>21.555064303870207</v>
      </c>
      <c r="J22"/>
      <c r="K22"/>
      <c r="L22"/>
      <c r="M22"/>
      <c r="N22"/>
      <c r="O22"/>
      <c r="P22"/>
      <c r="Q22"/>
      <c r="R22"/>
      <c r="S22"/>
      <c r="T22"/>
    </row>
    <row r="23" spans="1:20" ht="24.75" customHeight="1">
      <c r="A23" s="360" t="s">
        <v>288</v>
      </c>
      <c r="B23" s="348">
        <v>26163</v>
      </c>
      <c r="C23" s="348">
        <v>104651</v>
      </c>
      <c r="D23" s="349">
        <v>174369</v>
      </c>
      <c r="E23" s="348">
        <v>610293</v>
      </c>
      <c r="F23" s="350">
        <v>5765.5</v>
      </c>
      <c r="G23" s="359">
        <v>0</v>
      </c>
      <c r="H23" s="352">
        <f t="shared" si="7"/>
        <v>5765.5</v>
      </c>
      <c r="I23" s="353">
        <f t="shared" si="1"/>
        <v>33.06493700141654</v>
      </c>
      <c r="J23"/>
      <c r="K23"/>
      <c r="L23"/>
      <c r="M23"/>
      <c r="N23"/>
      <c r="O23"/>
      <c r="P23"/>
      <c r="Q23"/>
      <c r="R23"/>
      <c r="S23"/>
      <c r="T23"/>
    </row>
    <row r="24" spans="1:20" ht="24.75" customHeight="1">
      <c r="A24" s="361" t="s">
        <v>289</v>
      </c>
      <c r="B24" s="348">
        <v>57776</v>
      </c>
      <c r="C24" s="348">
        <v>202215</v>
      </c>
      <c r="D24" s="349">
        <v>284582</v>
      </c>
      <c r="E24" s="348">
        <v>853746</v>
      </c>
      <c r="F24" s="350">
        <v>5111.1</v>
      </c>
      <c r="G24" s="346">
        <v>193.3</v>
      </c>
      <c r="H24" s="352">
        <f t="shared" si="7"/>
        <v>5304.400000000001</v>
      </c>
      <c r="I24" s="353">
        <f t="shared" si="1"/>
        <v>18.63926741677267</v>
      </c>
      <c r="J24"/>
      <c r="K24"/>
      <c r="L24"/>
      <c r="M24"/>
      <c r="N24"/>
      <c r="O24"/>
      <c r="P24"/>
      <c r="Q24"/>
      <c r="R24"/>
      <c r="S24"/>
      <c r="T24"/>
    </row>
    <row r="25" spans="1:20" ht="25.5" customHeight="1">
      <c r="A25" s="358" t="s">
        <v>290</v>
      </c>
      <c r="B25" s="348">
        <v>1921</v>
      </c>
      <c r="C25" s="348">
        <v>6726</v>
      </c>
      <c r="D25" s="349">
        <v>34914</v>
      </c>
      <c r="E25" s="348">
        <v>104743</v>
      </c>
      <c r="F25" s="350">
        <v>665.9</v>
      </c>
      <c r="G25" s="346">
        <v>104.1</v>
      </c>
      <c r="H25" s="362">
        <f t="shared" si="7"/>
        <v>770</v>
      </c>
      <c r="I25" s="353">
        <f t="shared" si="1"/>
        <v>22.05419029615627</v>
      </c>
      <c r="J25"/>
      <c r="K25"/>
      <c r="L25"/>
      <c r="M25"/>
      <c r="N25"/>
      <c r="O25"/>
      <c r="P25"/>
      <c r="Q25"/>
      <c r="R25"/>
      <c r="S25"/>
      <c r="T25"/>
    </row>
    <row r="26" spans="1:20" ht="15.75" customHeight="1">
      <c r="A26" s="358" t="s">
        <v>291</v>
      </c>
      <c r="B26" s="348">
        <v>41443</v>
      </c>
      <c r="C26" s="348">
        <v>139697</v>
      </c>
      <c r="D26" s="349">
        <v>433242</v>
      </c>
      <c r="E26" s="348">
        <v>1142772</v>
      </c>
      <c r="F26" s="350">
        <v>2856.7</v>
      </c>
      <c r="G26" s="351">
        <v>9949</v>
      </c>
      <c r="H26" s="362">
        <f t="shared" si="7"/>
        <v>12805.7</v>
      </c>
      <c r="I26" s="353">
        <f t="shared" si="1"/>
        <v>29.557845268925913</v>
      </c>
      <c r="J26"/>
      <c r="K26"/>
      <c r="L26"/>
      <c r="M26"/>
      <c r="N26"/>
      <c r="O26"/>
      <c r="P26"/>
      <c r="Q26"/>
      <c r="R26"/>
      <c r="S26"/>
      <c r="T26"/>
    </row>
    <row r="27" spans="1:20" ht="15.75" customHeight="1">
      <c r="A27" s="358" t="s">
        <v>292</v>
      </c>
      <c r="B27" s="348">
        <v>0</v>
      </c>
      <c r="C27" s="348">
        <v>0</v>
      </c>
      <c r="D27" s="349">
        <v>12783</v>
      </c>
      <c r="E27" s="348">
        <v>26844.3</v>
      </c>
      <c r="F27" s="350">
        <v>292.3</v>
      </c>
      <c r="G27" s="363">
        <v>0</v>
      </c>
      <c r="H27" s="362">
        <f t="shared" si="7"/>
        <v>292.3</v>
      </c>
      <c r="I27" s="353">
        <f t="shared" si="1"/>
        <v>22.866306813736994</v>
      </c>
      <c r="J27"/>
      <c r="K27"/>
      <c r="L27"/>
      <c r="M27"/>
      <c r="N27"/>
      <c r="O27"/>
      <c r="P27"/>
      <c r="Q27"/>
      <c r="R27"/>
      <c r="S27"/>
      <c r="T27"/>
    </row>
    <row r="28" spans="1:20" ht="15.75" customHeight="1">
      <c r="A28" s="358" t="s">
        <v>293</v>
      </c>
      <c r="B28" s="339">
        <v>12350</v>
      </c>
      <c r="C28" s="339">
        <v>39798.815</v>
      </c>
      <c r="D28" s="364">
        <v>199686</v>
      </c>
      <c r="E28" s="339">
        <v>458607.016</v>
      </c>
      <c r="F28" s="341">
        <v>4588.8</v>
      </c>
      <c r="G28" s="357">
        <v>0</v>
      </c>
      <c r="H28" s="343">
        <f t="shared" si="7"/>
        <v>4588.8</v>
      </c>
      <c r="I28" s="344">
        <f t="shared" si="1"/>
        <v>22.980078723596044</v>
      </c>
      <c r="J28"/>
      <c r="K28"/>
      <c r="L28"/>
      <c r="M28"/>
      <c r="N28"/>
      <c r="O28"/>
      <c r="P28"/>
      <c r="Q28"/>
      <c r="R28"/>
      <c r="S28"/>
      <c r="T28"/>
    </row>
    <row r="29" spans="1:20" ht="15.75" customHeight="1">
      <c r="A29" s="328" t="s">
        <v>294</v>
      </c>
      <c r="B29" s="329">
        <f aca="true" t="shared" si="8" ref="B29:H29">B30</f>
        <v>22248</v>
      </c>
      <c r="C29" s="329">
        <f t="shared" si="8"/>
        <v>72100</v>
      </c>
      <c r="D29" s="329">
        <f t="shared" si="8"/>
        <v>33251</v>
      </c>
      <c r="E29" s="329">
        <f t="shared" si="8"/>
        <v>107500</v>
      </c>
      <c r="F29" s="329">
        <f t="shared" si="8"/>
        <v>558.6</v>
      </c>
      <c r="G29" s="329">
        <f t="shared" si="8"/>
        <v>0</v>
      </c>
      <c r="H29" s="329">
        <f t="shared" si="8"/>
        <v>558.6</v>
      </c>
      <c r="I29" s="330">
        <f t="shared" si="1"/>
        <v>16.799494752037536</v>
      </c>
      <c r="J29"/>
      <c r="K29"/>
      <c r="L29"/>
      <c r="M29"/>
      <c r="N29"/>
      <c r="O29"/>
      <c r="P29"/>
      <c r="Q29"/>
      <c r="R29"/>
      <c r="S29"/>
      <c r="T29"/>
    </row>
    <row r="30" spans="1:20" ht="15.75" customHeight="1" thickBot="1">
      <c r="A30" s="365" t="s">
        <v>295</v>
      </c>
      <c r="B30" s="366">
        <v>22248</v>
      </c>
      <c r="C30" s="367">
        <v>72100</v>
      </c>
      <c r="D30" s="368">
        <v>33251</v>
      </c>
      <c r="E30" s="367">
        <v>107500</v>
      </c>
      <c r="F30" s="369">
        <v>558.6</v>
      </c>
      <c r="G30" s="370">
        <v>0</v>
      </c>
      <c r="H30" s="371">
        <f>G30+F30</f>
        <v>558.6</v>
      </c>
      <c r="I30" s="372">
        <f t="shared" si="1"/>
        <v>16.799494752037536</v>
      </c>
      <c r="J30"/>
      <c r="K30"/>
      <c r="L30"/>
      <c r="M30"/>
      <c r="N30"/>
      <c r="O30"/>
      <c r="P30"/>
      <c r="Q30"/>
      <c r="R30"/>
      <c r="S30"/>
      <c r="T30"/>
    </row>
    <row r="31" spans="1:20" ht="15.75" customHeight="1" thickBot="1">
      <c r="A31" s="373" t="s">
        <v>48</v>
      </c>
      <c r="B31" s="374">
        <v>950</v>
      </c>
      <c r="C31" s="374">
        <v>1313.8</v>
      </c>
      <c r="D31" s="375">
        <v>12587</v>
      </c>
      <c r="E31" s="374">
        <v>32222.7</v>
      </c>
      <c r="F31" s="376">
        <v>92.5</v>
      </c>
      <c r="G31" s="377">
        <v>40</v>
      </c>
      <c r="H31" s="378">
        <v>132.6</v>
      </c>
      <c r="I31" s="379">
        <f t="shared" si="1"/>
        <v>10.534678636688646</v>
      </c>
      <c r="J31"/>
      <c r="K31"/>
      <c r="L31"/>
      <c r="M31"/>
      <c r="N31"/>
      <c r="O31"/>
      <c r="P31"/>
      <c r="Q31"/>
      <c r="R31"/>
      <c r="S31"/>
      <c r="T31"/>
    </row>
    <row r="32" spans="1:20" ht="15.75" customHeight="1" thickBot="1">
      <c r="A32" s="373" t="s">
        <v>296</v>
      </c>
      <c r="B32" s="374">
        <f aca="true" t="shared" si="9" ref="B32:H32">B9+B12</f>
        <v>21367.4</v>
      </c>
      <c r="C32" s="374">
        <f t="shared" si="9"/>
        <v>60187.7</v>
      </c>
      <c r="D32" s="374">
        <f t="shared" si="9"/>
        <v>234320</v>
      </c>
      <c r="E32" s="374">
        <f t="shared" si="9"/>
        <v>498704.4</v>
      </c>
      <c r="F32" s="376">
        <f t="shared" si="9"/>
        <v>1331.3</v>
      </c>
      <c r="G32" s="376">
        <f t="shared" si="9"/>
        <v>2586.1000000000004</v>
      </c>
      <c r="H32" s="376">
        <f t="shared" si="9"/>
        <v>3917.3999999999996</v>
      </c>
      <c r="I32" s="380">
        <f t="shared" si="1"/>
        <v>16.718163195629906</v>
      </c>
      <c r="J32"/>
      <c r="K32"/>
      <c r="L32"/>
      <c r="M32"/>
      <c r="N32"/>
      <c r="O32"/>
      <c r="P32"/>
      <c r="Q32"/>
      <c r="R32"/>
      <c r="S32"/>
      <c r="T32"/>
    </row>
    <row r="33" spans="1:20" ht="15.75" customHeight="1" thickBot="1">
      <c r="A33" s="373" t="s">
        <v>297</v>
      </c>
      <c r="B33" s="381">
        <f aca="true" t="shared" si="10" ref="B33:H33">B17+B20+B29</f>
        <v>285635</v>
      </c>
      <c r="C33" s="381">
        <f t="shared" si="10"/>
        <v>998617.0149999999</v>
      </c>
      <c r="D33" s="381">
        <f t="shared" si="10"/>
        <v>1700292.8</v>
      </c>
      <c r="E33" s="381">
        <f t="shared" si="10"/>
        <v>4883440.816</v>
      </c>
      <c r="F33" s="376">
        <f t="shared" si="10"/>
        <v>30881.2</v>
      </c>
      <c r="G33" s="376">
        <f t="shared" si="10"/>
        <v>10410.199999999999</v>
      </c>
      <c r="H33" s="376">
        <f t="shared" si="10"/>
        <v>41291.40000000001</v>
      </c>
      <c r="I33" s="380">
        <f t="shared" si="1"/>
        <v>24.28487611074987</v>
      </c>
      <c r="J33"/>
      <c r="K33"/>
      <c r="L33"/>
      <c r="M33"/>
      <c r="N33"/>
      <c r="O33"/>
      <c r="P33"/>
      <c r="Q33"/>
      <c r="R33"/>
      <c r="S33"/>
      <c r="T33"/>
    </row>
    <row r="34" spans="1:20" ht="22.5" customHeight="1" thickBot="1">
      <c r="A34" s="382" t="s">
        <v>49</v>
      </c>
      <c r="B34" s="383">
        <f aca="true" t="shared" si="11" ref="B34:H34">B31+B32+B33</f>
        <v>307952.4</v>
      </c>
      <c r="C34" s="383">
        <f t="shared" si="11"/>
        <v>1060118.515</v>
      </c>
      <c r="D34" s="383">
        <f t="shared" si="11"/>
        <v>1947199.8</v>
      </c>
      <c r="E34" s="383">
        <f t="shared" si="11"/>
        <v>5414367.915999999</v>
      </c>
      <c r="F34" s="383">
        <f t="shared" si="11"/>
        <v>32305</v>
      </c>
      <c r="G34" s="383">
        <f t="shared" si="11"/>
        <v>13036.3</v>
      </c>
      <c r="H34" s="384">
        <f t="shared" si="11"/>
        <v>45341.40000000001</v>
      </c>
      <c r="I34" s="385">
        <f t="shared" si="1"/>
        <v>23.28543788880833</v>
      </c>
      <c r="J34"/>
      <c r="K34"/>
      <c r="L34"/>
      <c r="M34"/>
      <c r="N34"/>
      <c r="O34"/>
      <c r="P34"/>
      <c r="Q34"/>
      <c r="R34"/>
      <c r="S34"/>
      <c r="T34"/>
    </row>
    <row r="35" spans="1:20" ht="15">
      <c r="A35" s="3" t="s">
        <v>359</v>
      </c>
      <c r="H35" s="206"/>
      <c r="J35"/>
      <c r="K35"/>
      <c r="L35"/>
      <c r="M35"/>
      <c r="N35"/>
      <c r="O35"/>
      <c r="P35"/>
      <c r="Q35"/>
      <c r="R35"/>
      <c r="S35"/>
      <c r="T35"/>
    </row>
    <row r="36" spans="1:20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15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/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H17:I20 H31:I31" formula="1"/>
    <ignoredError sqref="H21:I30" formula="1" formulaRange="1"/>
    <ignoredError sqref="F24:F30 G21:G30 F21:F22 B21:D30 E21:E22 E24 E26:E3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19">
      <selection activeCell="A28" sqref="A28"/>
    </sheetView>
  </sheetViews>
  <sheetFormatPr defaultColWidth="9.140625" defaultRowHeight="12.75"/>
  <cols>
    <col min="1" max="1" width="28.140625" style="205" customWidth="1"/>
    <col min="2" max="4" width="11.28125" style="205" customWidth="1"/>
    <col min="5" max="5" width="12.00390625" style="205" customWidth="1"/>
    <col min="6" max="6" width="10.28125" style="205" customWidth="1"/>
    <col min="7" max="7" width="9.421875" style="205" customWidth="1"/>
    <col min="8" max="8" width="10.28125" style="205" customWidth="1"/>
    <col min="9" max="9" width="16.421875" style="205" customWidth="1"/>
    <col min="10" max="16384" width="9.140625" style="2" customWidth="1"/>
  </cols>
  <sheetData>
    <row r="1" spans="1:9" ht="18" customHeight="1">
      <c r="A1" s="662" t="s">
        <v>42</v>
      </c>
      <c r="B1" s="662"/>
      <c r="C1" s="662"/>
      <c r="D1" s="662"/>
      <c r="E1" s="662"/>
      <c r="F1" s="662"/>
      <c r="G1" s="662"/>
      <c r="H1" s="662"/>
      <c r="I1" s="662"/>
    </row>
    <row r="2" spans="1:9" ht="18" customHeight="1">
      <c r="A2" s="663" t="s">
        <v>230</v>
      </c>
      <c r="B2" s="663"/>
      <c r="C2" s="663"/>
      <c r="D2" s="663"/>
      <c r="E2" s="663"/>
      <c r="F2" s="663"/>
      <c r="G2" s="663"/>
      <c r="H2" s="663"/>
      <c r="I2" s="663"/>
    </row>
    <row r="3" spans="1:9" ht="18" customHeight="1">
      <c r="A3" s="664" t="s">
        <v>157</v>
      </c>
      <c r="B3" s="664"/>
      <c r="C3" s="664"/>
      <c r="D3" s="664"/>
      <c r="E3" s="664"/>
      <c r="F3" s="664"/>
      <c r="G3" s="664"/>
      <c r="H3" s="664"/>
      <c r="I3" s="664"/>
    </row>
    <row r="4" spans="1:9" ht="17.25" customHeight="1">
      <c r="A4" s="677">
        <v>41609</v>
      </c>
      <c r="B4" s="677"/>
      <c r="C4" s="677"/>
      <c r="D4" s="677"/>
      <c r="E4" s="677"/>
      <c r="F4" s="677"/>
      <c r="G4" s="677"/>
      <c r="H4" s="677"/>
      <c r="I4" s="677"/>
    </row>
    <row r="5" spans="1:9" ht="19.5" customHeight="1">
      <c r="A5" s="324"/>
      <c r="B5" s="666" t="s">
        <v>51</v>
      </c>
      <c r="C5" s="666"/>
      <c r="D5" s="666"/>
      <c r="E5" s="666"/>
      <c r="F5" s="667" t="s">
        <v>52</v>
      </c>
      <c r="G5" s="668"/>
      <c r="H5" s="669"/>
      <c r="I5" s="323"/>
    </row>
    <row r="6" spans="1:9" ht="19.5" customHeight="1">
      <c r="A6" s="325" t="s">
        <v>162</v>
      </c>
      <c r="B6" s="666" t="s">
        <v>190</v>
      </c>
      <c r="C6" s="666"/>
      <c r="D6" s="666" t="s">
        <v>53</v>
      </c>
      <c r="E6" s="666"/>
      <c r="F6" s="678" t="s">
        <v>163</v>
      </c>
      <c r="G6" s="679"/>
      <c r="H6" s="680"/>
      <c r="I6" s="325" t="s">
        <v>125</v>
      </c>
    </row>
    <row r="7" spans="1:9" ht="19.5" customHeight="1">
      <c r="A7" s="325" t="s">
        <v>95</v>
      </c>
      <c r="B7" s="223" t="s">
        <v>54</v>
      </c>
      <c r="C7" s="223" t="s">
        <v>55</v>
      </c>
      <c r="D7" s="223" t="s">
        <v>54</v>
      </c>
      <c r="E7" s="223" t="s">
        <v>55</v>
      </c>
      <c r="F7" s="672" t="s">
        <v>23</v>
      </c>
      <c r="G7" s="672" t="s">
        <v>26</v>
      </c>
      <c r="H7" s="672" t="s">
        <v>2</v>
      </c>
      <c r="I7" s="674" t="s">
        <v>56</v>
      </c>
    </row>
    <row r="8" spans="1:9" ht="19.5" customHeight="1">
      <c r="A8" s="327"/>
      <c r="B8" s="223" t="s">
        <v>57</v>
      </c>
      <c r="C8" s="234" t="s">
        <v>50</v>
      </c>
      <c r="D8" s="223" t="s">
        <v>57</v>
      </c>
      <c r="E8" s="234" t="s">
        <v>50</v>
      </c>
      <c r="F8" s="673"/>
      <c r="G8" s="673"/>
      <c r="H8" s="673"/>
      <c r="I8" s="670"/>
    </row>
    <row r="9" spans="1:9" ht="22.5" customHeight="1">
      <c r="A9" s="391" t="s">
        <v>43</v>
      </c>
      <c r="B9" s="235">
        <f aca="true" t="shared" si="0" ref="B9:H9">SUM(B10:B13)</f>
        <v>193981</v>
      </c>
      <c r="C9" s="235">
        <f t="shared" si="0"/>
        <v>693617</v>
      </c>
      <c r="D9" s="235">
        <f t="shared" si="0"/>
        <v>1037797</v>
      </c>
      <c r="E9" s="235">
        <f t="shared" si="0"/>
        <v>3198098</v>
      </c>
      <c r="F9" s="235">
        <f t="shared" si="0"/>
        <v>27380</v>
      </c>
      <c r="G9" s="235">
        <f t="shared" si="0"/>
        <v>280</v>
      </c>
      <c r="H9" s="235">
        <f t="shared" si="0"/>
        <v>27660</v>
      </c>
      <c r="I9" s="330">
        <f aca="true" t="shared" si="1" ref="I9:I26">(H9/D9)*1000</f>
        <v>26.65261125248965</v>
      </c>
    </row>
    <row r="10" spans="1:9" ht="22.5" customHeight="1">
      <c r="A10" s="392" t="s">
        <v>220</v>
      </c>
      <c r="B10" s="236">
        <v>117969</v>
      </c>
      <c r="C10" s="237">
        <v>412890</v>
      </c>
      <c r="D10" s="238">
        <v>521187</v>
      </c>
      <c r="E10" s="250">
        <v>1563561</v>
      </c>
      <c r="F10" s="203">
        <v>13355</v>
      </c>
      <c r="G10" s="203">
        <v>0</v>
      </c>
      <c r="H10" s="251">
        <f aca="true" t="shared" si="2" ref="H10:H16">F10+G10</f>
        <v>13355</v>
      </c>
      <c r="I10" s="393">
        <f t="shared" si="1"/>
        <v>25.624200143134807</v>
      </c>
    </row>
    <row r="11" spans="1:9" ht="27.75" customHeight="1">
      <c r="A11" s="394" t="s">
        <v>221</v>
      </c>
      <c r="B11" s="236">
        <v>29368</v>
      </c>
      <c r="C11" s="237">
        <v>117472</v>
      </c>
      <c r="D11" s="238">
        <v>169415</v>
      </c>
      <c r="E11" s="252">
        <v>592952</v>
      </c>
      <c r="F11" s="203">
        <v>5213</v>
      </c>
      <c r="G11" s="203">
        <v>0</v>
      </c>
      <c r="H11" s="251">
        <f t="shared" si="2"/>
        <v>5213</v>
      </c>
      <c r="I11" s="393">
        <f t="shared" si="1"/>
        <v>30.7705929227046</v>
      </c>
    </row>
    <row r="12" spans="1:9" ht="27.75" customHeight="1">
      <c r="A12" s="394" t="s">
        <v>229</v>
      </c>
      <c r="B12" s="236">
        <v>42416</v>
      </c>
      <c r="C12" s="237">
        <v>148457</v>
      </c>
      <c r="D12" s="238">
        <v>309593</v>
      </c>
      <c r="E12" s="252">
        <v>928779</v>
      </c>
      <c r="F12" s="203">
        <v>8133</v>
      </c>
      <c r="G12" s="203">
        <v>182</v>
      </c>
      <c r="H12" s="251">
        <f t="shared" si="2"/>
        <v>8315</v>
      </c>
      <c r="I12" s="393">
        <f t="shared" si="1"/>
        <v>26.857842393077362</v>
      </c>
    </row>
    <row r="13" spans="1:9" ht="30.75" customHeight="1">
      <c r="A13" s="394" t="s">
        <v>222</v>
      </c>
      <c r="B13" s="236">
        <v>4228</v>
      </c>
      <c r="C13" s="237">
        <v>14798</v>
      </c>
      <c r="D13" s="239">
        <v>37602</v>
      </c>
      <c r="E13" s="252">
        <v>112806</v>
      </c>
      <c r="F13" s="203">
        <v>679</v>
      </c>
      <c r="G13" s="204">
        <v>98</v>
      </c>
      <c r="H13" s="251">
        <f t="shared" si="2"/>
        <v>777</v>
      </c>
      <c r="I13" s="393">
        <f t="shared" si="1"/>
        <v>20.663794479017074</v>
      </c>
    </row>
    <row r="14" spans="1:9" ht="22.5" customHeight="1">
      <c r="A14" s="391" t="s">
        <v>44</v>
      </c>
      <c r="B14" s="240">
        <v>45915</v>
      </c>
      <c r="C14" s="240">
        <v>151582</v>
      </c>
      <c r="D14" s="241">
        <v>453167</v>
      </c>
      <c r="E14" s="241">
        <v>1169662</v>
      </c>
      <c r="F14" s="253">
        <v>3486</v>
      </c>
      <c r="G14" s="235">
        <v>8211</v>
      </c>
      <c r="H14" s="254">
        <f t="shared" si="2"/>
        <v>11697</v>
      </c>
      <c r="I14" s="330">
        <f t="shared" si="1"/>
        <v>25.81167649012395</v>
      </c>
    </row>
    <row r="15" spans="1:9" ht="22.5" customHeight="1">
      <c r="A15" s="391" t="s">
        <v>45</v>
      </c>
      <c r="B15" s="240">
        <v>17027.5</v>
      </c>
      <c r="C15" s="240">
        <v>57742</v>
      </c>
      <c r="D15" s="241">
        <v>162328.5</v>
      </c>
      <c r="E15" s="241">
        <v>471505</v>
      </c>
      <c r="F15" s="253">
        <v>4010</v>
      </c>
      <c r="G15" s="235">
        <v>0</v>
      </c>
      <c r="H15" s="254">
        <f t="shared" si="2"/>
        <v>4010</v>
      </c>
      <c r="I15" s="330">
        <f t="shared" si="1"/>
        <v>24.702994236994734</v>
      </c>
    </row>
    <row r="16" spans="1:9" ht="22.5" customHeight="1">
      <c r="A16" s="391" t="s">
        <v>71</v>
      </c>
      <c r="B16" s="240">
        <v>16810</v>
      </c>
      <c r="C16" s="240">
        <v>56200</v>
      </c>
      <c r="D16" s="241">
        <v>65150</v>
      </c>
      <c r="E16" s="241">
        <v>208800</v>
      </c>
      <c r="F16" s="253">
        <v>1650</v>
      </c>
      <c r="G16" s="235">
        <v>0</v>
      </c>
      <c r="H16" s="254">
        <f t="shared" si="2"/>
        <v>1650</v>
      </c>
      <c r="I16" s="330">
        <f t="shared" si="1"/>
        <v>25.32617037605526</v>
      </c>
    </row>
    <row r="17" spans="1:9" ht="22.5" customHeight="1">
      <c r="A17" s="391" t="s">
        <v>46</v>
      </c>
      <c r="B17" s="240">
        <f aca="true" t="shared" si="3" ref="B17:H17">SUM(B18:B20)</f>
        <v>12494.4</v>
      </c>
      <c r="C17" s="240">
        <f t="shared" si="3"/>
        <v>41785.5</v>
      </c>
      <c r="D17" s="240">
        <f t="shared" si="3"/>
        <v>134511.1</v>
      </c>
      <c r="E17" s="240">
        <f t="shared" si="3"/>
        <v>308917.10000000003</v>
      </c>
      <c r="F17" s="240">
        <f t="shared" si="3"/>
        <v>1079.8</v>
      </c>
      <c r="G17" s="240">
        <f t="shared" si="3"/>
        <v>723.4</v>
      </c>
      <c r="H17" s="240">
        <f t="shared" si="3"/>
        <v>1803.1999999999998</v>
      </c>
      <c r="I17" s="330">
        <f t="shared" si="1"/>
        <v>13.405585115280449</v>
      </c>
    </row>
    <row r="18" spans="1:9" ht="22.5" customHeight="1">
      <c r="A18" s="392" t="s">
        <v>211</v>
      </c>
      <c r="B18" s="236">
        <v>3052</v>
      </c>
      <c r="C18" s="236">
        <v>14497</v>
      </c>
      <c r="D18" s="236">
        <v>11858.5</v>
      </c>
      <c r="E18" s="239">
        <v>65150.6</v>
      </c>
      <c r="F18" s="204">
        <v>398.8</v>
      </c>
      <c r="G18" s="235">
        <v>0</v>
      </c>
      <c r="H18" s="257">
        <f>SUM(F18:G18)</f>
        <v>398.8</v>
      </c>
      <c r="I18" s="393">
        <f t="shared" si="1"/>
        <v>33.62988573596998</v>
      </c>
    </row>
    <row r="19" spans="1:9" ht="22.5" customHeight="1">
      <c r="A19" s="394" t="s">
        <v>212</v>
      </c>
      <c r="B19" s="236">
        <v>4187.4</v>
      </c>
      <c r="C19" s="236">
        <v>14760.6</v>
      </c>
      <c r="D19" s="236">
        <v>98473.7</v>
      </c>
      <c r="E19" s="239">
        <v>192023.7</v>
      </c>
      <c r="F19" s="204">
        <v>681</v>
      </c>
      <c r="G19" s="235">
        <v>0</v>
      </c>
      <c r="H19" s="257">
        <f>SUM(F19:G19)</f>
        <v>681</v>
      </c>
      <c r="I19" s="393">
        <f t="shared" si="1"/>
        <v>6.915552071263698</v>
      </c>
    </row>
    <row r="20" spans="1:9" ht="22.5" customHeight="1">
      <c r="A20" s="394" t="s">
        <v>213</v>
      </c>
      <c r="B20" s="236">
        <v>5255</v>
      </c>
      <c r="C20" s="236">
        <v>12527.9</v>
      </c>
      <c r="D20" s="236">
        <v>24178.9</v>
      </c>
      <c r="E20" s="239">
        <v>51742.8</v>
      </c>
      <c r="F20" s="204">
        <v>0</v>
      </c>
      <c r="G20" s="203">
        <v>723.4</v>
      </c>
      <c r="H20" s="257">
        <f>SUM(F20:G20)</f>
        <v>723.4</v>
      </c>
      <c r="I20" s="393">
        <f t="shared" si="1"/>
        <v>29.91864807745596</v>
      </c>
    </row>
    <row r="21" spans="1:9" ht="22.5" customHeight="1">
      <c r="A21" s="391" t="s">
        <v>47</v>
      </c>
      <c r="B21" s="240">
        <v>5465</v>
      </c>
      <c r="C21" s="240">
        <v>8580</v>
      </c>
      <c r="D21" s="241">
        <v>102840</v>
      </c>
      <c r="E21" s="241">
        <v>161459</v>
      </c>
      <c r="F21" s="253">
        <v>0</v>
      </c>
      <c r="G21" s="235">
        <v>1357</v>
      </c>
      <c r="H21" s="254">
        <f aca="true" t="shared" si="4" ref="H21:H26">F21+G21</f>
        <v>1357</v>
      </c>
      <c r="I21" s="330">
        <f t="shared" si="1"/>
        <v>13.195254764683003</v>
      </c>
    </row>
    <row r="22" spans="1:9" ht="22.5" customHeight="1">
      <c r="A22" s="391" t="s">
        <v>72</v>
      </c>
      <c r="B22" s="235">
        <v>1251</v>
      </c>
      <c r="C22" s="235">
        <v>2899.8</v>
      </c>
      <c r="D22" s="235">
        <v>20890</v>
      </c>
      <c r="E22" s="235">
        <v>47952</v>
      </c>
      <c r="F22" s="253">
        <v>1.6</v>
      </c>
      <c r="G22" s="235">
        <v>169.9</v>
      </c>
      <c r="H22" s="254">
        <f t="shared" si="4"/>
        <v>171.5</v>
      </c>
      <c r="I22" s="330">
        <f t="shared" si="1"/>
        <v>8.209669698420296</v>
      </c>
    </row>
    <row r="23" spans="1:9" ht="22.5" customHeight="1">
      <c r="A23" s="391" t="s">
        <v>113</v>
      </c>
      <c r="B23" s="235">
        <v>1495</v>
      </c>
      <c r="C23" s="235">
        <v>6650.7</v>
      </c>
      <c r="D23" s="235">
        <v>6382.6</v>
      </c>
      <c r="E23" s="235">
        <v>28975.9</v>
      </c>
      <c r="F23" s="253">
        <v>265.5</v>
      </c>
      <c r="G23" s="235">
        <v>0</v>
      </c>
      <c r="H23" s="254">
        <f t="shared" si="4"/>
        <v>265.5</v>
      </c>
      <c r="I23" s="330">
        <f t="shared" si="1"/>
        <v>41.59746811644157</v>
      </c>
    </row>
    <row r="24" spans="1:9" ht="22.5" customHeight="1">
      <c r="A24" s="391" t="s">
        <v>73</v>
      </c>
      <c r="B24" s="235">
        <v>95</v>
      </c>
      <c r="C24" s="235">
        <v>209</v>
      </c>
      <c r="D24" s="235">
        <v>6383</v>
      </c>
      <c r="E24" s="235">
        <v>14221</v>
      </c>
      <c r="F24" s="253">
        <v>0</v>
      </c>
      <c r="G24" s="235">
        <v>121.7</v>
      </c>
      <c r="H24" s="254">
        <f t="shared" si="4"/>
        <v>121.7</v>
      </c>
      <c r="I24" s="330">
        <f t="shared" si="1"/>
        <v>19.066269779100736</v>
      </c>
    </row>
    <row r="25" spans="1:9" ht="22.5" customHeight="1">
      <c r="A25" s="391" t="s">
        <v>74</v>
      </c>
      <c r="B25" s="235">
        <v>4</v>
      </c>
      <c r="C25" s="235">
        <v>8.6</v>
      </c>
      <c r="D25" s="235">
        <v>13276</v>
      </c>
      <c r="E25" s="235">
        <v>27879.6</v>
      </c>
      <c r="F25" s="253">
        <v>281.1</v>
      </c>
      <c r="G25" s="235">
        <v>0</v>
      </c>
      <c r="H25" s="254">
        <f t="shared" si="4"/>
        <v>281.1</v>
      </c>
      <c r="I25" s="330">
        <f t="shared" si="1"/>
        <v>21.173546248870146</v>
      </c>
    </row>
    <row r="26" spans="1:9" ht="22.5" customHeight="1">
      <c r="A26" s="395" t="s">
        <v>48</v>
      </c>
      <c r="B26" s="235">
        <v>636</v>
      </c>
      <c r="C26" s="235">
        <v>1729.9</v>
      </c>
      <c r="D26" s="235">
        <v>13700</v>
      </c>
      <c r="E26" s="235">
        <v>35072</v>
      </c>
      <c r="F26" s="253">
        <v>131.7</v>
      </c>
      <c r="G26" s="235">
        <v>2.8</v>
      </c>
      <c r="H26" s="254">
        <f t="shared" si="4"/>
        <v>134.5</v>
      </c>
      <c r="I26" s="330">
        <f t="shared" si="1"/>
        <v>9.817518248175183</v>
      </c>
    </row>
    <row r="27" spans="1:9" ht="22.5" customHeight="1">
      <c r="A27" s="396" t="s">
        <v>49</v>
      </c>
      <c r="B27" s="255">
        <f aca="true" t="shared" si="5" ref="B27:H27">B9+B14+B15+B16+B17+B21+B22+B23+B24+B25+B26</f>
        <v>295173.9</v>
      </c>
      <c r="C27" s="255">
        <f t="shared" si="5"/>
        <v>1021004.5</v>
      </c>
      <c r="D27" s="255">
        <f t="shared" si="5"/>
        <v>2016425.2000000002</v>
      </c>
      <c r="E27" s="255">
        <f t="shared" si="5"/>
        <v>5672541.6</v>
      </c>
      <c r="F27" s="255">
        <f t="shared" si="5"/>
        <v>38285.7</v>
      </c>
      <c r="G27" s="255">
        <f t="shared" si="5"/>
        <v>10865.8</v>
      </c>
      <c r="H27" s="255">
        <f t="shared" si="5"/>
        <v>49151.49999999999</v>
      </c>
      <c r="I27" s="397">
        <f>(H27/D27)*1000</f>
        <v>24.37556324925913</v>
      </c>
    </row>
    <row r="28" spans="1:8" ht="15">
      <c r="A28" s="3" t="s">
        <v>359</v>
      </c>
      <c r="H28" s="206"/>
    </row>
    <row r="29" spans="1:9" ht="15.75">
      <c r="A29"/>
      <c r="B29"/>
      <c r="C29"/>
      <c r="D29"/>
      <c r="E29"/>
      <c r="F29"/>
      <c r="G29"/>
      <c r="H29"/>
      <c r="I29" s="169"/>
    </row>
    <row r="30" spans="1:9" ht="15">
      <c r="A30"/>
      <c r="B30"/>
      <c r="C30"/>
      <c r="D30"/>
      <c r="E30"/>
      <c r="F30"/>
      <c r="G30"/>
      <c r="H30"/>
      <c r="I30" s="104"/>
    </row>
    <row r="31" spans="1:9" ht="15.75">
      <c r="A31"/>
      <c r="B31"/>
      <c r="C31"/>
      <c r="D31"/>
      <c r="E31"/>
      <c r="F31"/>
      <c r="G31"/>
      <c r="H31"/>
      <c r="I31" s="170"/>
    </row>
    <row r="32" spans="1:9" ht="15.75">
      <c r="A32" s="104"/>
      <c r="B32" s="170"/>
      <c r="C32" s="170"/>
      <c r="D32" s="171"/>
      <c r="E32" s="170"/>
      <c r="F32" s="104"/>
      <c r="G32" s="104"/>
      <c r="H32" s="104"/>
      <c r="I32" s="104"/>
    </row>
    <row r="33" spans="1:9" ht="15.75">
      <c r="A33" s="104"/>
      <c r="B33" s="170"/>
      <c r="C33" s="170"/>
      <c r="D33" s="171"/>
      <c r="E33" s="170"/>
      <c r="F33" s="104"/>
      <c r="G33" s="104"/>
      <c r="H33" s="104"/>
      <c r="I33" s="104"/>
    </row>
    <row r="34" spans="1:9" ht="15.75">
      <c r="A34" s="104"/>
      <c r="B34" s="170"/>
      <c r="C34" s="170"/>
      <c r="D34" s="171"/>
      <c r="E34" s="170"/>
      <c r="F34" s="207"/>
      <c r="G34" s="104"/>
      <c r="H34" s="104"/>
      <c r="I34" s="104"/>
    </row>
    <row r="35" spans="1:9" ht="15">
      <c r="A35" s="104"/>
      <c r="B35" s="104"/>
      <c r="C35" s="104"/>
      <c r="D35" s="104"/>
      <c r="E35" s="104"/>
      <c r="F35" s="207"/>
      <c r="G35" s="104"/>
      <c r="H35" s="104"/>
      <c r="I35" s="104"/>
    </row>
    <row r="36" spans="1:9" ht="15">
      <c r="A36" s="104"/>
      <c r="B36" s="104"/>
      <c r="C36" s="104"/>
      <c r="D36" s="208"/>
      <c r="E36" s="208"/>
      <c r="F36" s="207"/>
      <c r="G36" s="104"/>
      <c r="H36" s="104"/>
      <c r="I36" s="104"/>
    </row>
    <row r="37" spans="1:9" ht="15">
      <c r="A37" s="104"/>
      <c r="B37" s="104"/>
      <c r="C37" s="104"/>
      <c r="D37" s="208"/>
      <c r="E37" s="208"/>
      <c r="F37" s="207"/>
      <c r="G37" s="104"/>
      <c r="H37" s="104"/>
      <c r="I37" s="104"/>
    </row>
    <row r="38" spans="1:9" ht="15">
      <c r="A38" s="104"/>
      <c r="B38" s="104"/>
      <c r="C38" s="104"/>
      <c r="D38" s="104"/>
      <c r="E38" s="104"/>
      <c r="F38" s="104"/>
      <c r="G38" s="104"/>
      <c r="H38" s="104"/>
      <c r="I38" s="104"/>
    </row>
    <row r="40" spans="4:6" ht="15">
      <c r="D40" s="209"/>
      <c r="E40" s="209"/>
      <c r="F40" s="210"/>
    </row>
    <row r="41" spans="4:6" ht="15">
      <c r="D41" s="209"/>
      <c r="E41" s="209"/>
      <c r="F41" s="210"/>
    </row>
    <row r="42" spans="4:6" ht="15.75">
      <c r="D42" s="212"/>
      <c r="E42" s="213"/>
      <c r="F42" s="210"/>
    </row>
    <row r="43" spans="4:6" ht="15">
      <c r="D43" s="209"/>
      <c r="E43" s="209"/>
      <c r="F43" s="210"/>
    </row>
    <row r="44" spans="4:6" ht="15">
      <c r="D44" s="211"/>
      <c r="E44" s="211"/>
      <c r="F44" s="210"/>
    </row>
    <row r="45" spans="4:6" ht="15">
      <c r="D45" s="209"/>
      <c r="E45" s="209"/>
      <c r="F45" s="209"/>
    </row>
    <row r="46" spans="4:6" ht="15">
      <c r="D46" s="211"/>
      <c r="E46" s="211"/>
      <c r="F46" s="211"/>
    </row>
    <row r="47" spans="4:6" ht="15.75">
      <c r="D47" s="213"/>
      <c r="E47" s="213"/>
      <c r="F47" s="211"/>
    </row>
    <row r="48" spans="4:6" ht="15">
      <c r="D48" s="211"/>
      <c r="E48" s="214"/>
      <c r="F48" s="211"/>
    </row>
    <row r="49" spans="4:6" ht="15">
      <c r="D49" s="211"/>
      <c r="E49" s="211"/>
      <c r="F49" s="211"/>
    </row>
    <row r="50" spans="4:6" ht="15">
      <c r="D50" s="211"/>
      <c r="E50" s="211"/>
      <c r="F50" s="211"/>
    </row>
    <row r="51" spans="4:6" ht="15">
      <c r="D51" s="211"/>
      <c r="E51" s="211"/>
      <c r="F51" s="211"/>
    </row>
  </sheetData>
  <sheetProtection/>
  <mergeCells count="13"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  <mergeCell ref="D6:E6"/>
    <mergeCell ref="F5:H5"/>
    <mergeCell ref="F6:H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zoomScalePageLayoutView="0" workbookViewId="0" topLeftCell="A1">
      <selection activeCell="L1" sqref="L1"/>
    </sheetView>
  </sheetViews>
  <sheetFormatPr defaultColWidth="9.140625" defaultRowHeight="12.75"/>
  <cols>
    <col min="1" max="1" width="17.28125" style="29" customWidth="1"/>
    <col min="2" max="2" width="12.140625" style="29" customWidth="1"/>
    <col min="3" max="3" width="9.28125" style="29" customWidth="1"/>
    <col min="4" max="4" width="12.140625" style="29" customWidth="1"/>
    <col min="5" max="5" width="9.7109375" style="29" customWidth="1"/>
    <col min="6" max="6" width="12.140625" style="29" customWidth="1"/>
    <col min="7" max="7" width="9.57421875" style="29" customWidth="1"/>
    <col min="8" max="8" width="12.140625" style="29" customWidth="1"/>
    <col min="9" max="9" width="9.57421875" style="29" customWidth="1"/>
    <col min="10" max="10" width="12.140625" style="29" customWidth="1"/>
    <col min="11" max="11" width="10.57421875" style="29" customWidth="1"/>
    <col min="12" max="12" width="15.140625" style="29" bestFit="1" customWidth="1"/>
    <col min="13" max="16384" width="9.140625" style="29" customWidth="1"/>
  </cols>
  <sheetData>
    <row r="1" spans="1:11" ht="15" customHeight="1">
      <c r="A1" s="689" t="s">
        <v>269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15" customHeight="1">
      <c r="A2" s="690" t="s">
        <v>120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</row>
    <row r="3" spans="1:11" ht="15" customHeight="1">
      <c r="A3" s="693" t="s">
        <v>121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</row>
    <row r="4" spans="1:11" ht="15" customHeight="1">
      <c r="A4" s="691" t="s">
        <v>84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</row>
    <row r="5" spans="1:1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20.25" customHeight="1">
      <c r="A6" s="692" t="s">
        <v>266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</row>
    <row r="7" spans="1:11" ht="15" customHeight="1">
      <c r="A7" s="685" t="s">
        <v>85</v>
      </c>
      <c r="B7" s="681" t="s">
        <v>307</v>
      </c>
      <c r="C7" s="681"/>
      <c r="D7" s="681" t="s">
        <v>252</v>
      </c>
      <c r="E7" s="681"/>
      <c r="F7" s="682" t="s">
        <v>233</v>
      </c>
      <c r="G7" s="683"/>
      <c r="H7" s="682" t="s">
        <v>210</v>
      </c>
      <c r="I7" s="683"/>
      <c r="J7" s="682" t="s">
        <v>204</v>
      </c>
      <c r="K7" s="684"/>
    </row>
    <row r="8" spans="1:11" ht="15" customHeight="1">
      <c r="A8" s="685"/>
      <c r="B8" s="101" t="s">
        <v>122</v>
      </c>
      <c r="C8" s="114" t="s">
        <v>86</v>
      </c>
      <c r="D8" s="101" t="s">
        <v>122</v>
      </c>
      <c r="E8" s="114" t="s">
        <v>86</v>
      </c>
      <c r="F8" s="101" t="s">
        <v>122</v>
      </c>
      <c r="G8" s="114" t="s">
        <v>86</v>
      </c>
      <c r="H8" s="101" t="s">
        <v>122</v>
      </c>
      <c r="I8" s="114" t="s">
        <v>86</v>
      </c>
      <c r="J8" s="101" t="s">
        <v>122</v>
      </c>
      <c r="K8" s="308" t="s">
        <v>86</v>
      </c>
    </row>
    <row r="9" spans="1:12" ht="15">
      <c r="A9" s="309" t="s">
        <v>96</v>
      </c>
      <c r="B9" s="106">
        <v>45342</v>
      </c>
      <c r="C9" s="109">
        <f>(B9/B26)*100</f>
        <v>31.991363982727965</v>
      </c>
      <c r="D9" s="106">
        <v>49152</v>
      </c>
      <c r="E9" s="109">
        <f>(D9/D26)*100</f>
        <v>33.49483798425841</v>
      </c>
      <c r="F9" s="106">
        <v>50826</v>
      </c>
      <c r="G9" s="109">
        <f>(F9/F26)*100</f>
        <v>34.44382700153156</v>
      </c>
      <c r="H9" s="106">
        <v>43484</v>
      </c>
      <c r="I9" s="109">
        <f>(H9/H26)*100</f>
        <v>31.837051463212845</v>
      </c>
      <c r="J9" s="106">
        <v>48095</v>
      </c>
      <c r="K9" s="310">
        <f>(J9/J26)*100</f>
        <v>35.98551451167593</v>
      </c>
      <c r="L9" s="37"/>
    </row>
    <row r="10" spans="1:11" ht="15">
      <c r="A10" s="110" t="s">
        <v>188</v>
      </c>
      <c r="B10" s="108">
        <v>27500</v>
      </c>
      <c r="C10" s="109">
        <f>(B10/B26)*100</f>
        <v>19.402816583410946</v>
      </c>
      <c r="D10" s="108">
        <v>27500</v>
      </c>
      <c r="E10" s="109">
        <f>(D10/D26)*100</f>
        <v>18.739991141095096</v>
      </c>
      <c r="F10" s="108">
        <v>25000</v>
      </c>
      <c r="G10" s="109">
        <f>(F10/F26)*100</f>
        <v>16.94203114623006</v>
      </c>
      <c r="H10" s="108">
        <v>26500</v>
      </c>
      <c r="I10" s="109">
        <f>(H10/H26)*100</f>
        <v>19.402121786752378</v>
      </c>
      <c r="J10" s="108">
        <v>20000</v>
      </c>
      <c r="K10" s="310">
        <f>(J10/J26)*100</f>
        <v>14.964347442218914</v>
      </c>
    </row>
    <row r="11" spans="1:11" ht="15">
      <c r="A11" s="311" t="s">
        <v>87</v>
      </c>
      <c r="B11" s="108">
        <v>12500</v>
      </c>
      <c r="C11" s="109">
        <f>(B11/B26)*100</f>
        <v>8.819462083368611</v>
      </c>
      <c r="D11" s="108">
        <v>12124</v>
      </c>
      <c r="E11" s="109">
        <f>(D11/D26)*100</f>
        <v>8.261951003441343</v>
      </c>
      <c r="F11" s="108">
        <v>9927</v>
      </c>
      <c r="G11" s="109">
        <f>(F11/F26)*100</f>
        <v>6.727341727545031</v>
      </c>
      <c r="H11" s="108">
        <v>7652</v>
      </c>
      <c r="I11" s="109">
        <f>(H11/H26)*100</f>
        <v>5.602454185367139</v>
      </c>
      <c r="J11" s="108">
        <v>8523</v>
      </c>
      <c r="K11" s="310">
        <f>(J11/J26)*100</f>
        <v>6.37705666250159</v>
      </c>
    </row>
    <row r="12" spans="1:11" ht="15">
      <c r="A12" s="311" t="s">
        <v>88</v>
      </c>
      <c r="B12" s="108">
        <v>9350</v>
      </c>
      <c r="C12" s="109">
        <f>(B12/B26)*100</f>
        <v>6.596957638359721</v>
      </c>
      <c r="D12" s="108">
        <v>11667</v>
      </c>
      <c r="E12" s="109">
        <f>(D12/D26)*100</f>
        <v>7.950526423387509</v>
      </c>
      <c r="F12" s="108">
        <v>13048</v>
      </c>
      <c r="G12" s="109">
        <f>(F12/F26)*100</f>
        <v>8.842384895840393</v>
      </c>
      <c r="H12" s="108">
        <v>7288</v>
      </c>
      <c r="I12" s="109">
        <f>(H12/H26)*100</f>
        <v>5.335949569126465</v>
      </c>
      <c r="J12" s="108">
        <v>9129</v>
      </c>
      <c r="K12" s="310">
        <f>(J12/J26)*100</f>
        <v>6.830476390000823</v>
      </c>
    </row>
    <row r="13" spans="1:11" ht="15">
      <c r="A13" s="311" t="s">
        <v>98</v>
      </c>
      <c r="B13" s="108">
        <v>6625</v>
      </c>
      <c r="C13" s="109">
        <f>(B13/B26)*100</f>
        <v>4.674314904185364</v>
      </c>
      <c r="D13" s="108">
        <v>6527</v>
      </c>
      <c r="E13" s="109">
        <f>(D13/D26)*100</f>
        <v>4.447851715561007</v>
      </c>
      <c r="F13" s="108">
        <v>6233</v>
      </c>
      <c r="G13" s="109">
        <f>(F13/F26)*100</f>
        <v>4.223987205378078</v>
      </c>
      <c r="H13" s="108">
        <v>6798</v>
      </c>
      <c r="I13" s="109">
        <f>(H13/H26)*100</f>
        <v>4.977193354956326</v>
      </c>
      <c r="J13" s="108">
        <v>7500</v>
      </c>
      <c r="K13" s="310">
        <f>(J13/J26)*100</f>
        <v>5.6116302908320925</v>
      </c>
    </row>
    <row r="14" spans="1:11" ht="15">
      <c r="A14" s="311" t="s">
        <v>90</v>
      </c>
      <c r="B14" s="108">
        <v>5517</v>
      </c>
      <c r="C14" s="109">
        <f>(B14/B26)*100</f>
        <v>3.8925577851155704</v>
      </c>
      <c r="D14" s="108">
        <v>5075</v>
      </c>
      <c r="E14" s="109">
        <f>(D14/D26)*100</f>
        <v>3.4583801833111862</v>
      </c>
      <c r="F14" s="108">
        <v>4977</v>
      </c>
      <c r="G14" s="109">
        <f>(F14/F26)*100</f>
        <v>3.37281956059148</v>
      </c>
      <c r="H14" s="108">
        <v>4921</v>
      </c>
      <c r="I14" s="109">
        <f>(H14/H26)*100</f>
        <v>3.60293740802296</v>
      </c>
      <c r="J14" s="108">
        <v>4728</v>
      </c>
      <c r="K14" s="310">
        <f>(J14/J26)*100</f>
        <v>3.5375717353405514</v>
      </c>
    </row>
    <row r="15" spans="1:11" ht="15">
      <c r="A15" s="311" t="s">
        <v>150</v>
      </c>
      <c r="B15" s="108">
        <v>5400</v>
      </c>
      <c r="C15" s="109">
        <f>(B15/B26)*100</f>
        <v>3.8100076200152397</v>
      </c>
      <c r="D15" s="108">
        <v>4568</v>
      </c>
      <c r="E15" s="109">
        <f>(D15/D26)*100</f>
        <v>3.112882892091724</v>
      </c>
      <c r="F15" s="108">
        <v>4537</v>
      </c>
      <c r="G15" s="109">
        <f>(F15/F26)*100</f>
        <v>3.074639812417831</v>
      </c>
      <c r="H15" s="108">
        <v>5903</v>
      </c>
      <c r="I15" s="109">
        <f>(H15/H26)*100</f>
        <v>4.321914147441483</v>
      </c>
      <c r="J15" s="108">
        <v>4331</v>
      </c>
      <c r="K15" s="310">
        <f>(J15/J26)*100</f>
        <v>3.240529438612506</v>
      </c>
    </row>
    <row r="16" spans="1:11" ht="15">
      <c r="A16" s="311" t="s">
        <v>89</v>
      </c>
      <c r="B16" s="108">
        <v>3900</v>
      </c>
      <c r="C16" s="109">
        <f>(B16/B26)*100</f>
        <v>2.7516721700110067</v>
      </c>
      <c r="D16" s="108">
        <v>3916</v>
      </c>
      <c r="E16" s="109">
        <f>(D16/D26)*100</f>
        <v>2.668574738491942</v>
      </c>
      <c r="F16" s="108">
        <v>4327</v>
      </c>
      <c r="G16" s="109">
        <f>(F16/F26)*100</f>
        <v>2.932326750789499</v>
      </c>
      <c r="H16" s="108">
        <v>4563</v>
      </c>
      <c r="I16" s="109">
        <f>(H16/H26)*100</f>
        <v>3.340825725017023</v>
      </c>
      <c r="J16" s="108">
        <v>4001</v>
      </c>
      <c r="K16" s="310">
        <f>(J16/J26)*100</f>
        <v>2.9936177058158937</v>
      </c>
    </row>
    <row r="17" spans="1:11" ht="15">
      <c r="A17" s="311" t="s">
        <v>232</v>
      </c>
      <c r="B17" s="108">
        <v>3800</v>
      </c>
      <c r="C17" s="109">
        <f>(B17/B26)*100</f>
        <v>2.6811164733440576</v>
      </c>
      <c r="D17" s="108">
        <v>3602</v>
      </c>
      <c r="E17" s="109">
        <f>(D17/D26)*100</f>
        <v>2.4545981123718015</v>
      </c>
      <c r="F17" s="108">
        <v>3878</v>
      </c>
      <c r="G17" s="109">
        <f>(F17/F26)*100</f>
        <v>2.628047871403207</v>
      </c>
      <c r="H17" s="108">
        <v>3075</v>
      </c>
      <c r="I17" s="109">
        <f>(H17/H26)*100</f>
        <v>2.2513782828023987</v>
      </c>
      <c r="J17" s="108">
        <v>3223</v>
      </c>
      <c r="K17" s="310">
        <f>(J17/J26)*100</f>
        <v>2.411504590313578</v>
      </c>
    </row>
    <row r="18" spans="1:11" ht="15">
      <c r="A18" s="311" t="s">
        <v>92</v>
      </c>
      <c r="B18" s="108">
        <v>3500</v>
      </c>
      <c r="C18" s="109">
        <f>(B18/B26)*100</f>
        <v>2.4694493833432114</v>
      </c>
      <c r="D18" s="108">
        <v>3159</v>
      </c>
      <c r="E18" s="109">
        <f>(D18/D26)*100</f>
        <v>2.152713891444342</v>
      </c>
      <c r="F18" s="108">
        <v>3743</v>
      </c>
      <c r="G18" s="109">
        <f>(F18/F26)*100</f>
        <v>2.5365609032135645</v>
      </c>
      <c r="H18" s="108">
        <v>3840</v>
      </c>
      <c r="I18" s="109">
        <f>(H18/H26)*100</f>
        <v>2.8114772702312876</v>
      </c>
      <c r="J18" s="108">
        <v>3950</v>
      </c>
      <c r="K18" s="310">
        <f>(J18/J26)*100</f>
        <v>2.955458619838235</v>
      </c>
    </row>
    <row r="19" spans="1:11" ht="15">
      <c r="A19" s="311" t="s">
        <v>99</v>
      </c>
      <c r="B19" s="108">
        <v>2883</v>
      </c>
      <c r="C19" s="109">
        <f>(B19/B26)*100</f>
        <v>2.0341207349081363</v>
      </c>
      <c r="D19" s="108">
        <v>4338</v>
      </c>
      <c r="E19" s="109">
        <f>(D19/D26)*100</f>
        <v>2.9561484207298374</v>
      </c>
      <c r="F19" s="108">
        <v>4453</v>
      </c>
      <c r="G19" s="109">
        <f>(F19/F26)*100</f>
        <v>3.017714587766498</v>
      </c>
      <c r="H19" s="108">
        <v>5373</v>
      </c>
      <c r="I19" s="109">
        <f>(H19/H26)*100</f>
        <v>3.9338717117064346</v>
      </c>
      <c r="J19" s="108">
        <v>4069</v>
      </c>
      <c r="K19" s="310">
        <f>(J19/J26)*100</f>
        <v>3.0444964871194378</v>
      </c>
    </row>
    <row r="20" spans="1:11" ht="15">
      <c r="A20" s="311" t="s">
        <v>97</v>
      </c>
      <c r="B20" s="108">
        <v>2175</v>
      </c>
      <c r="C20" s="109">
        <f>(B20/B26)*100</f>
        <v>1.5345864025061384</v>
      </c>
      <c r="D20" s="108">
        <v>1923</v>
      </c>
      <c r="E20" s="109">
        <f>(D20/D26)*100</f>
        <v>1.3104364714300316</v>
      </c>
      <c r="F20" s="108">
        <v>2046</v>
      </c>
      <c r="G20" s="109">
        <f>(F20/F26)*100</f>
        <v>1.386535829007468</v>
      </c>
      <c r="H20" s="108">
        <v>1886</v>
      </c>
      <c r="I20" s="109">
        <f>(H20/H26)*100</f>
        <v>1.380845346785471</v>
      </c>
      <c r="J20" s="108">
        <v>982</v>
      </c>
      <c r="K20" s="310">
        <f>(J20/J26)*100</f>
        <v>0.7347494594129487</v>
      </c>
    </row>
    <row r="21" spans="1:11" ht="15">
      <c r="A21" s="311" t="s">
        <v>133</v>
      </c>
      <c r="B21" s="108">
        <v>2050</v>
      </c>
      <c r="C21" s="109">
        <f>(B21/B26)*100</f>
        <v>1.4463917816724523</v>
      </c>
      <c r="D21" s="108">
        <v>2017</v>
      </c>
      <c r="E21" s="109">
        <f>(D21/D26)*100</f>
        <v>1.3744931684214112</v>
      </c>
      <c r="F21" s="108">
        <v>1890</v>
      </c>
      <c r="G21" s="109">
        <f>(F21/F26)*100</f>
        <v>1.2808175546549925</v>
      </c>
      <c r="H21" s="108">
        <v>2193</v>
      </c>
      <c r="I21" s="109">
        <f>(H21/H26)*100</f>
        <v>1.6056170972961499</v>
      </c>
      <c r="J21" s="108">
        <v>1634</v>
      </c>
      <c r="K21" s="310">
        <f>(J21/J26)*100</f>
        <v>1.2225871860292852</v>
      </c>
    </row>
    <row r="22" spans="1:11" ht="15">
      <c r="A22" s="311" t="s">
        <v>234</v>
      </c>
      <c r="B22" s="108">
        <v>1508</v>
      </c>
      <c r="C22" s="109">
        <f>(B22/B26)*100</f>
        <v>1.0639799057375892</v>
      </c>
      <c r="D22" s="108">
        <v>1444</v>
      </c>
      <c r="E22" s="109">
        <f>(D22/D26)*100</f>
        <v>0.9840198984633208</v>
      </c>
      <c r="F22" s="108">
        <v>1571</v>
      </c>
      <c r="G22" s="109">
        <f>(F22/F26)*100</f>
        <v>1.064637237229097</v>
      </c>
      <c r="H22" s="108">
        <v>1462</v>
      </c>
      <c r="I22" s="109">
        <f>(H22/H26)*100</f>
        <v>1.070411398197433</v>
      </c>
      <c r="J22" s="108">
        <v>1392</v>
      </c>
      <c r="K22" s="310">
        <f>(J22/J26)*100</f>
        <v>1.0415185819784365</v>
      </c>
    </row>
    <row r="23" spans="1:11" ht="15" customHeight="1">
      <c r="A23" s="311" t="s">
        <v>132</v>
      </c>
      <c r="B23" s="108">
        <v>680</v>
      </c>
      <c r="C23" s="109">
        <f>(B23/B26)*100</f>
        <v>0.47977873733525245</v>
      </c>
      <c r="D23" s="108">
        <v>537</v>
      </c>
      <c r="E23" s="109">
        <f>(D23/D26)*100</f>
        <v>0.36594091791883876</v>
      </c>
      <c r="F23" s="108">
        <v>1235</v>
      </c>
      <c r="G23" s="109">
        <f>(F23/F26)*100</f>
        <v>0.8369363386237649</v>
      </c>
      <c r="H23" s="108">
        <v>1152</v>
      </c>
      <c r="I23" s="109">
        <f>(H23/H26)*100</f>
        <v>0.8434431810693863</v>
      </c>
      <c r="J23" s="108">
        <v>1814</v>
      </c>
      <c r="K23" s="310">
        <f>(J23/J26)*100</f>
        <v>1.3572663130092555</v>
      </c>
    </row>
    <row r="24" spans="1:11" ht="15" customHeight="1" hidden="1">
      <c r="A24" s="311"/>
      <c r="B24" s="108">
        <f>SUM(B9:B23)</f>
        <v>132730</v>
      </c>
      <c r="C24" s="110"/>
      <c r="D24" s="108">
        <f>SUM(D9:D23)</f>
        <v>137549</v>
      </c>
      <c r="E24" s="110"/>
      <c r="F24" s="108">
        <f>SUM(F9:F23)</f>
        <v>137691</v>
      </c>
      <c r="G24" s="110"/>
      <c r="H24" s="108">
        <f>SUM(H9:H23)</f>
        <v>126090</v>
      </c>
      <c r="I24" s="110"/>
      <c r="J24" s="108">
        <f>SUM(J9:J23)</f>
        <v>123371</v>
      </c>
      <c r="K24" s="311"/>
    </row>
    <row r="25" spans="1:11" ht="15">
      <c r="A25" s="311" t="s">
        <v>91</v>
      </c>
      <c r="B25" s="112">
        <f>B26-B24</f>
        <v>9002</v>
      </c>
      <c r="C25" s="111">
        <f>(B25/B26)*100</f>
        <v>6.351423813958738</v>
      </c>
      <c r="D25" s="112">
        <f>D26-D24</f>
        <v>9196</v>
      </c>
      <c r="E25" s="111">
        <f>(D25/D26)*100</f>
        <v>6.266653037582201</v>
      </c>
      <c r="F25" s="112">
        <f>F26-F24</f>
        <v>9871</v>
      </c>
      <c r="G25" s="111">
        <f>(F25/F26)*100</f>
        <v>6.689391577777476</v>
      </c>
      <c r="H25" s="112">
        <f>H26-H24</f>
        <v>10493</v>
      </c>
      <c r="I25" s="111">
        <f>(H25/H26)*100</f>
        <v>7.682508072014819</v>
      </c>
      <c r="J25" s="112">
        <f>J26-J24</f>
        <v>10280</v>
      </c>
      <c r="K25" s="312">
        <f>(J25/J26)*100</f>
        <v>7.691674585300522</v>
      </c>
    </row>
    <row r="26" spans="1:11" ht="18" customHeight="1">
      <c r="A26" s="313" t="s">
        <v>2</v>
      </c>
      <c r="B26" s="262">
        <v>141732</v>
      </c>
      <c r="C26" s="261">
        <f>SUM(C9:C25)</f>
        <v>100</v>
      </c>
      <c r="D26" s="262">
        <v>146745</v>
      </c>
      <c r="E26" s="261">
        <f>SUM(E9:E25)</f>
        <v>99.99999999999999</v>
      </c>
      <c r="F26" s="262">
        <v>147562</v>
      </c>
      <c r="G26" s="261">
        <f>SUM(G9:G25)</f>
        <v>99.99999999999999</v>
      </c>
      <c r="H26" s="262">
        <v>136583</v>
      </c>
      <c r="I26" s="261">
        <f>SUM(I9:I25)</f>
        <v>99.99999999999997</v>
      </c>
      <c r="J26" s="262">
        <v>133651</v>
      </c>
      <c r="K26" s="314">
        <f>SUM(K9:K25)</f>
        <v>100.00000000000001</v>
      </c>
    </row>
    <row r="27" spans="1:11" ht="15" customHeight="1">
      <c r="A27" s="315" t="s">
        <v>360</v>
      </c>
      <c r="B27" s="316"/>
      <c r="C27" s="316"/>
      <c r="D27" s="304"/>
      <c r="E27" s="304"/>
      <c r="F27" s="317"/>
      <c r="G27" s="317"/>
      <c r="H27" s="317"/>
      <c r="I27" s="317"/>
      <c r="J27" s="317"/>
      <c r="K27" s="317"/>
    </row>
    <row r="28" spans="1:11" ht="12.75" customHeight="1">
      <c r="A28" s="168"/>
      <c r="B28" s="316"/>
      <c r="C28" s="316"/>
      <c r="D28" s="304"/>
      <c r="E28" s="304"/>
      <c r="F28" s="317"/>
      <c r="G28" s="317"/>
      <c r="H28" s="317"/>
      <c r="I28" s="317"/>
      <c r="J28" s="317"/>
      <c r="K28" s="317"/>
    </row>
    <row r="29" spans="1:11" ht="20.25" customHeight="1">
      <c r="A29" s="686" t="s">
        <v>267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8"/>
    </row>
    <row r="30" spans="1:11" ht="15" customHeight="1">
      <c r="A30" s="685" t="s">
        <v>85</v>
      </c>
      <c r="B30" s="681" t="s">
        <v>307</v>
      </c>
      <c r="C30" s="681"/>
      <c r="D30" s="681" t="s">
        <v>252</v>
      </c>
      <c r="E30" s="681"/>
      <c r="F30" s="682" t="s">
        <v>233</v>
      </c>
      <c r="G30" s="683"/>
      <c r="H30" s="682" t="s">
        <v>210</v>
      </c>
      <c r="I30" s="683"/>
      <c r="J30" s="682" t="s">
        <v>204</v>
      </c>
      <c r="K30" s="684"/>
    </row>
    <row r="31" spans="1:11" ht="15" customHeight="1">
      <c r="A31" s="685"/>
      <c r="B31" s="101" t="s">
        <v>123</v>
      </c>
      <c r="C31" s="101" t="s">
        <v>86</v>
      </c>
      <c r="D31" s="101" t="s">
        <v>123</v>
      </c>
      <c r="E31" s="101" t="s">
        <v>86</v>
      </c>
      <c r="F31" s="101" t="s">
        <v>123</v>
      </c>
      <c r="G31" s="101" t="s">
        <v>86</v>
      </c>
      <c r="H31" s="101" t="s">
        <v>123</v>
      </c>
      <c r="I31" s="101" t="s">
        <v>86</v>
      </c>
      <c r="J31" s="101" t="s">
        <v>123</v>
      </c>
      <c r="K31" s="318" t="s">
        <v>86</v>
      </c>
    </row>
    <row r="32" spans="1:11" ht="15">
      <c r="A32" s="319" t="s">
        <v>96</v>
      </c>
      <c r="B32" s="106">
        <v>36735</v>
      </c>
      <c r="C32" s="107">
        <f>(B32/B49)*100</f>
        <v>32.878956036087644</v>
      </c>
      <c r="D32" s="106">
        <v>32010</v>
      </c>
      <c r="E32" s="107">
        <f>(D32/D49)*100</f>
        <v>28.496648238656093</v>
      </c>
      <c r="F32" s="106">
        <v>28735</v>
      </c>
      <c r="G32" s="107">
        <f>(F32/F49)*100</f>
        <v>25.972793419803857</v>
      </c>
      <c r="H32" s="106">
        <v>33610</v>
      </c>
      <c r="I32" s="107">
        <f>(H32/H49)*100</f>
        <v>32.274172020088535</v>
      </c>
      <c r="J32" s="106">
        <v>33494</v>
      </c>
      <c r="K32" s="320">
        <f>(J32/J49)*100</f>
        <v>34.552338116508665</v>
      </c>
    </row>
    <row r="33" spans="1:11" ht="15">
      <c r="A33" s="110" t="s">
        <v>188</v>
      </c>
      <c r="B33" s="113">
        <v>25000</v>
      </c>
      <c r="C33" s="109">
        <f>(B33/B49)*100</f>
        <v>22.37576972647859</v>
      </c>
      <c r="D33" s="113">
        <v>21681</v>
      </c>
      <c r="E33" s="109">
        <f>(D33/D49)*100</f>
        <v>19.301338033811394</v>
      </c>
      <c r="F33" s="113">
        <v>22864</v>
      </c>
      <c r="G33" s="109">
        <f>(F33/F49)*100</f>
        <v>20.666154471912144</v>
      </c>
      <c r="H33" s="113">
        <v>17717</v>
      </c>
      <c r="I33" s="109">
        <f>(H33/H49)*100</f>
        <v>17.0128386099348</v>
      </c>
      <c r="J33" s="113">
        <v>14229</v>
      </c>
      <c r="K33" s="310">
        <f>(J33/J49)*100</f>
        <v>14.678605692356891</v>
      </c>
    </row>
    <row r="34" spans="1:11" ht="15">
      <c r="A34" s="110" t="s">
        <v>87</v>
      </c>
      <c r="B34" s="113">
        <v>10954</v>
      </c>
      <c r="C34" s="109">
        <f>(B34/B49)*100</f>
        <v>9.80416726335386</v>
      </c>
      <c r="D34" s="113">
        <v>9670</v>
      </c>
      <c r="E34" s="109">
        <f>(D34/D49)*100</f>
        <v>8.60864068940345</v>
      </c>
      <c r="F34" s="113">
        <v>7170</v>
      </c>
      <c r="G34" s="109">
        <f>(F34/F49)*100</f>
        <v>6.480770099877978</v>
      </c>
      <c r="H34" s="113">
        <v>7734</v>
      </c>
      <c r="I34" s="109">
        <f>(H34/H49)*100</f>
        <v>7.4266125082822</v>
      </c>
      <c r="J34" s="113">
        <v>7822</v>
      </c>
      <c r="K34" s="310">
        <f>(J34/J49)*100</f>
        <v>8.069158319320795</v>
      </c>
    </row>
    <row r="35" spans="1:11" ht="15">
      <c r="A35" s="110" t="s">
        <v>90</v>
      </c>
      <c r="B35" s="113">
        <v>5131</v>
      </c>
      <c r="C35" s="109">
        <f>(B35/B49)*100</f>
        <v>4.592402978662466</v>
      </c>
      <c r="D35" s="113">
        <v>4963</v>
      </c>
      <c r="E35" s="109">
        <f>(D35/D49)*100</f>
        <v>4.418271327974076</v>
      </c>
      <c r="F35" s="113">
        <v>5044</v>
      </c>
      <c r="G35" s="109">
        <f>(F35/F49)*100</f>
        <v>4.559135897320017</v>
      </c>
      <c r="H35" s="113">
        <v>5414</v>
      </c>
      <c r="I35" s="109">
        <f>(H35/H49)*100</f>
        <v>5.198820806806288</v>
      </c>
      <c r="J35" s="113">
        <v>4647</v>
      </c>
      <c r="K35" s="310">
        <f>(J35/J49)*100</f>
        <v>4.793835171296822</v>
      </c>
    </row>
    <row r="36" spans="1:11" ht="15">
      <c r="A36" s="110" t="s">
        <v>88</v>
      </c>
      <c r="B36" s="113">
        <v>4548</v>
      </c>
      <c r="C36" s="109">
        <f>(B36/B49)*100</f>
        <v>4.070600028640985</v>
      </c>
      <c r="D36" s="113">
        <v>10882</v>
      </c>
      <c r="E36" s="109">
        <f>(D36/D49)*100</f>
        <v>9.68761406226353</v>
      </c>
      <c r="F36" s="113">
        <v>10722</v>
      </c>
      <c r="G36" s="109">
        <f>(F36/F49)*100</f>
        <v>9.691327337641795</v>
      </c>
      <c r="H36" s="113">
        <v>6159</v>
      </c>
      <c r="I36" s="109">
        <f>(H36/H49)*100</f>
        <v>5.914210814392303</v>
      </c>
      <c r="J36" s="113">
        <v>5489</v>
      </c>
      <c r="K36" s="310">
        <f>(J36/J49)*100</f>
        <v>5.662440554174361</v>
      </c>
    </row>
    <row r="37" spans="1:11" ht="15">
      <c r="A37" s="110" t="s">
        <v>150</v>
      </c>
      <c r="B37" s="108">
        <v>4261</v>
      </c>
      <c r="C37" s="109">
        <f>(B37/B49)*100</f>
        <v>3.8137261921810115</v>
      </c>
      <c r="D37" s="108">
        <v>4185</v>
      </c>
      <c r="E37" s="109">
        <f>(D37/D49)*100</f>
        <v>3.725663007771813</v>
      </c>
      <c r="F37" s="108">
        <v>5508</v>
      </c>
      <c r="G37" s="109">
        <f>(F37/F49)*100</f>
        <v>4.97853301396484</v>
      </c>
      <c r="H37" s="108">
        <v>3947</v>
      </c>
      <c r="I37" s="109">
        <f>(H37/H49)*100</f>
        <v>3.7901266576402692</v>
      </c>
      <c r="J37" s="108">
        <v>3349</v>
      </c>
      <c r="K37" s="310">
        <f>(J37/J49)*100</f>
        <v>3.4548211725141074</v>
      </c>
    </row>
    <row r="38" spans="1:11" ht="15">
      <c r="A38" s="110" t="s">
        <v>232</v>
      </c>
      <c r="B38" s="108">
        <v>3442</v>
      </c>
      <c r="C38" s="109">
        <f>(B38/B49)*100</f>
        <v>3.0806959759415724</v>
      </c>
      <c r="D38" s="108">
        <v>3672</v>
      </c>
      <c r="E38" s="109">
        <f>(D38/D49)*100</f>
        <v>3.268968832625591</v>
      </c>
      <c r="F38" s="108">
        <v>2685</v>
      </c>
      <c r="G38" s="109">
        <f>(F38/F49)*100</f>
        <v>2.4268992633434268</v>
      </c>
      <c r="H38" s="108">
        <v>3142</v>
      </c>
      <c r="I38" s="109">
        <f>(H38/H49)*100</f>
        <v>3.0171213474298773</v>
      </c>
      <c r="J38" s="108">
        <v>2657</v>
      </c>
      <c r="K38" s="310">
        <f>(J38/J49)*100</f>
        <v>2.7409554659211652</v>
      </c>
    </row>
    <row r="39" spans="1:11" ht="15">
      <c r="A39" s="110" t="s">
        <v>98</v>
      </c>
      <c r="B39" s="113">
        <v>3137</v>
      </c>
      <c r="C39" s="109">
        <f>(B39/B49)*100</f>
        <v>2.8077115852785335</v>
      </c>
      <c r="D39" s="113">
        <v>2870</v>
      </c>
      <c r="E39" s="109">
        <f>(D39/D49)*100</f>
        <v>2.5549947030597617</v>
      </c>
      <c r="F39" s="113">
        <v>3203</v>
      </c>
      <c r="G39" s="109">
        <f>(F39/F49)*100</f>
        <v>2.8951055271839836</v>
      </c>
      <c r="H39" s="113">
        <v>2675</v>
      </c>
      <c r="I39" s="109">
        <f>(H39/H49)*100</f>
        <v>2.5686822420034763</v>
      </c>
      <c r="J39" s="113">
        <v>3324</v>
      </c>
      <c r="K39" s="310">
        <f>(J39/J49)*100</f>
        <v>3.4290312264666745</v>
      </c>
    </row>
    <row r="40" spans="1:11" ht="15">
      <c r="A40" s="110" t="s">
        <v>92</v>
      </c>
      <c r="B40" s="113">
        <v>3045</v>
      </c>
      <c r="C40" s="109">
        <f>(B40/B49)*100</f>
        <v>2.7253687526850925</v>
      </c>
      <c r="D40" s="113">
        <v>3575</v>
      </c>
      <c r="E40" s="109">
        <f>(D40/D49)*100</f>
        <v>3.1826153531145116</v>
      </c>
      <c r="F40" s="113">
        <v>3750</v>
      </c>
      <c r="G40" s="109">
        <f>(F40/F49)*100</f>
        <v>3.3895241108148415</v>
      </c>
      <c r="H40" s="113">
        <v>3697</v>
      </c>
      <c r="I40" s="109">
        <f>(H40/H49)*100</f>
        <v>3.550062896705365</v>
      </c>
      <c r="J40" s="113">
        <v>3468</v>
      </c>
      <c r="K40" s="310">
        <f>(J40/J49)*100</f>
        <v>3.5775813156998875</v>
      </c>
    </row>
    <row r="41" spans="1:11" ht="15">
      <c r="A41" s="311" t="s">
        <v>99</v>
      </c>
      <c r="B41" s="113">
        <v>2891</v>
      </c>
      <c r="C41" s="109">
        <f>(B41/B49)*100</f>
        <v>2.5875340111699843</v>
      </c>
      <c r="D41" s="113">
        <v>3971</v>
      </c>
      <c r="E41" s="109">
        <f>(D41/D49)*100</f>
        <v>3.5351512076133504</v>
      </c>
      <c r="F41" s="113">
        <v>4310</v>
      </c>
      <c r="G41" s="109">
        <f>(F41/F49)*100</f>
        <v>3.8956930446965243</v>
      </c>
      <c r="H41" s="113">
        <v>4697</v>
      </c>
      <c r="I41" s="109">
        <f>(H41/H49)*100</f>
        <v>4.510317940444982</v>
      </c>
      <c r="J41" s="113">
        <v>3817</v>
      </c>
      <c r="K41" s="310">
        <f>(J41/J49)*100</f>
        <v>3.9376089625220505</v>
      </c>
    </row>
    <row r="42" spans="1:11" ht="15">
      <c r="A42" s="311" t="s">
        <v>89</v>
      </c>
      <c r="B42" s="113">
        <v>2448</v>
      </c>
      <c r="C42" s="109">
        <f>(B42/B49)*100</f>
        <v>2.191035371616784</v>
      </c>
      <c r="D42" s="113">
        <v>3132</v>
      </c>
      <c r="E42" s="109">
        <f>(D42/D49)*100</f>
        <v>2.788238121945357</v>
      </c>
      <c r="F42" s="113">
        <v>3556</v>
      </c>
      <c r="G42" s="109">
        <f>(F42/F49)*100</f>
        <v>3.2141727301486873</v>
      </c>
      <c r="H42" s="113">
        <v>2907</v>
      </c>
      <c r="I42" s="109">
        <f>(H42/H49)*100</f>
        <v>2.7914614121510675</v>
      </c>
      <c r="J42" s="113">
        <v>2498</v>
      </c>
      <c r="K42" s="310">
        <f>(J42/J49)*100</f>
        <v>2.576931409059492</v>
      </c>
    </row>
    <row r="43" spans="1:11" ht="15">
      <c r="A43" s="110" t="s">
        <v>133</v>
      </c>
      <c r="B43" s="113">
        <v>1900</v>
      </c>
      <c r="C43" s="109">
        <f>(B43/B49)*100</f>
        <v>1.7005584992123728</v>
      </c>
      <c r="D43" s="113">
        <v>1661</v>
      </c>
      <c r="E43" s="109">
        <f>(D43/D49)*100</f>
        <v>1.478692056370127</v>
      </c>
      <c r="F43" s="113">
        <v>1987</v>
      </c>
      <c r="G43" s="109">
        <f>(F43/F49)*100</f>
        <v>1.7959958421837574</v>
      </c>
      <c r="H43" s="113">
        <v>1468</v>
      </c>
      <c r="I43" s="109">
        <f>(H43/H49)*100</f>
        <v>1.409654404209758</v>
      </c>
      <c r="J43" s="113">
        <v>1712</v>
      </c>
      <c r="K43" s="310">
        <f>(J43/J49)*100</f>
        <v>1.7660955053282028</v>
      </c>
    </row>
    <row r="44" spans="1:11" ht="15">
      <c r="A44" s="311" t="s">
        <v>97</v>
      </c>
      <c r="B44" s="113">
        <v>1567</v>
      </c>
      <c r="C44" s="109">
        <f>(B44/B49)*100</f>
        <v>1.4025132464556782</v>
      </c>
      <c r="D44" s="113">
        <v>1962</v>
      </c>
      <c r="E44" s="109">
        <f>(D44/D49)*100</f>
        <v>1.7466549154715165</v>
      </c>
      <c r="F44" s="113">
        <v>1712</v>
      </c>
      <c r="G44" s="109">
        <f>(F44/F49)*100</f>
        <v>1.5474307407240024</v>
      </c>
      <c r="H44" s="113">
        <v>772</v>
      </c>
      <c r="I44" s="109">
        <f>(H44/H49)*100</f>
        <v>0.7413168937669845</v>
      </c>
      <c r="J44" s="113">
        <v>1912</v>
      </c>
      <c r="K44" s="310">
        <f>(J44/J49)*100</f>
        <v>1.972415073707666</v>
      </c>
    </row>
    <row r="45" spans="1:11" ht="15">
      <c r="A45" s="311" t="s">
        <v>234</v>
      </c>
      <c r="B45" s="108">
        <v>1212</v>
      </c>
      <c r="C45" s="109">
        <f>(B45/B49)*100</f>
        <v>1.084777316339682</v>
      </c>
      <c r="D45" s="108">
        <v>1344</v>
      </c>
      <c r="E45" s="109">
        <f>(D45/D49)*100</f>
        <v>1.1964853243596933</v>
      </c>
      <c r="F45" s="108">
        <v>1374</v>
      </c>
      <c r="G45" s="109">
        <f>(F45/F49)*100</f>
        <v>1.241921634202558</v>
      </c>
      <c r="H45" s="108">
        <v>1243</v>
      </c>
      <c r="I45" s="109">
        <f>(H45/H49)*100</f>
        <v>1.1935970193683443</v>
      </c>
      <c r="J45" s="108">
        <v>1200</v>
      </c>
      <c r="K45" s="310">
        <f>(J45/J49)*100</f>
        <v>1.2379174102767776</v>
      </c>
    </row>
    <row r="46" spans="1:11" ht="15" customHeight="1">
      <c r="A46" s="311" t="s">
        <v>132</v>
      </c>
      <c r="B46" s="113">
        <v>430</v>
      </c>
      <c r="C46" s="109">
        <f>(B46/B49)*100</f>
        <v>0.38486323929543176</v>
      </c>
      <c r="D46" s="113">
        <v>1103</v>
      </c>
      <c r="E46" s="109">
        <f>(D46/D49)*100</f>
        <v>0.9819369886672187</v>
      </c>
      <c r="F46" s="113">
        <v>1044</v>
      </c>
      <c r="G46" s="109">
        <f>(F46/F49)*100</f>
        <v>0.943643512450852</v>
      </c>
      <c r="H46" s="113">
        <v>1826</v>
      </c>
      <c r="I46" s="109">
        <f>(H46/H49)*100</f>
        <v>1.753425709868541</v>
      </c>
      <c r="J46" s="113">
        <v>1082</v>
      </c>
      <c r="K46" s="310">
        <f>(J46/J49)*100</f>
        <v>1.1161888649328944</v>
      </c>
    </row>
    <row r="47" spans="1:11" ht="17.25" customHeight="1" hidden="1">
      <c r="A47" s="110"/>
      <c r="B47" s="113">
        <f>SUM(B32:B46)</f>
        <v>106701</v>
      </c>
      <c r="C47" s="110"/>
      <c r="D47" s="113">
        <f>SUM(D32:D46)</f>
        <v>106681</v>
      </c>
      <c r="E47" s="110"/>
      <c r="F47" s="113">
        <f>SUM(F32:F46)</f>
        <v>103664</v>
      </c>
      <c r="G47" s="110"/>
      <c r="H47" s="113">
        <f>SUM(H32:H46)</f>
        <v>97008</v>
      </c>
      <c r="I47" s="110"/>
      <c r="J47" s="113">
        <f>SUM(J32:J46)</f>
        <v>90700</v>
      </c>
      <c r="K47" s="311"/>
    </row>
    <row r="48" spans="1:11" ht="15">
      <c r="A48" s="321" t="s">
        <v>91</v>
      </c>
      <c r="B48" s="112">
        <f>B49-B47</f>
        <v>5027</v>
      </c>
      <c r="C48" s="111">
        <f>(B48/B49)*100</f>
        <v>4.499319776600315</v>
      </c>
      <c r="D48" s="112">
        <f>D49-D47</f>
        <v>5648</v>
      </c>
      <c r="E48" s="111">
        <f>(D48/D49)*100</f>
        <v>5.028087136892521</v>
      </c>
      <c r="F48" s="112">
        <f>F49-F47</f>
        <v>6971</v>
      </c>
      <c r="G48" s="111">
        <f>(F48/F49)*100</f>
        <v>6.3008993537307365</v>
      </c>
      <c r="H48" s="112">
        <f>H49-H47</f>
        <v>7131</v>
      </c>
      <c r="I48" s="111">
        <f>(H48/H49)*100</f>
        <v>6.8475787169072095</v>
      </c>
      <c r="J48" s="112">
        <f>J49-J47</f>
        <v>6237</v>
      </c>
      <c r="K48" s="312">
        <f>(J48/J49)*100</f>
        <v>6.434075739913552</v>
      </c>
    </row>
    <row r="49" spans="1:11" ht="18" customHeight="1">
      <c r="A49" s="322" t="s">
        <v>2</v>
      </c>
      <c r="B49" s="262">
        <v>111728</v>
      </c>
      <c r="C49" s="261">
        <f>SUM(C32:C48)</f>
        <v>99.99999999999999</v>
      </c>
      <c r="D49" s="262">
        <v>112329</v>
      </c>
      <c r="E49" s="261">
        <f>SUM(E32:E48)</f>
        <v>100</v>
      </c>
      <c r="F49" s="262">
        <v>110635</v>
      </c>
      <c r="G49" s="261">
        <f>SUM(G32:G48)</f>
        <v>100</v>
      </c>
      <c r="H49" s="262">
        <v>104139</v>
      </c>
      <c r="I49" s="261">
        <f>SUM(I32:I48)</f>
        <v>99.99999999999999</v>
      </c>
      <c r="J49" s="262">
        <v>96937</v>
      </c>
      <c r="K49" s="314">
        <f>SUM(K32:K48)</f>
        <v>100.00000000000001</v>
      </c>
    </row>
    <row r="50" spans="1:11" ht="15" customHeight="1">
      <c r="A50" s="201" t="s">
        <v>135</v>
      </c>
      <c r="B50" s="105"/>
      <c r="C50" s="105"/>
      <c r="D50" s="32"/>
      <c r="E50" s="32"/>
      <c r="F50" s="32"/>
      <c r="G50" s="32"/>
      <c r="H50" s="30"/>
      <c r="I50" s="31"/>
      <c r="J50" s="30"/>
      <c r="K50" s="31"/>
    </row>
    <row r="51" spans="1:11" ht="12.75" customHeight="1">
      <c r="A51" s="168"/>
      <c r="B51" s="105"/>
      <c r="C51" s="105"/>
      <c r="D51" s="32"/>
      <c r="E51" s="32"/>
      <c r="F51" s="32"/>
      <c r="G51" s="32"/>
      <c r="H51" s="30"/>
      <c r="I51" s="31"/>
      <c r="J51" s="30"/>
      <c r="K51" s="31"/>
    </row>
    <row r="52" spans="1:11" ht="20.25" customHeight="1">
      <c r="A52" s="686" t="s">
        <v>268</v>
      </c>
      <c r="B52" s="687"/>
      <c r="C52" s="687"/>
      <c r="D52" s="687"/>
      <c r="E52" s="687"/>
      <c r="F52" s="687"/>
      <c r="G52" s="687"/>
      <c r="H52" s="687"/>
      <c r="I52" s="687"/>
      <c r="J52" s="687"/>
      <c r="K52" s="688"/>
    </row>
    <row r="53" spans="1:11" ht="15" customHeight="1">
      <c r="A53" s="685" t="s">
        <v>85</v>
      </c>
      <c r="B53" s="681" t="s">
        <v>272</v>
      </c>
      <c r="C53" s="681"/>
      <c r="D53" s="681" t="s">
        <v>252</v>
      </c>
      <c r="E53" s="681"/>
      <c r="F53" s="682" t="s">
        <v>233</v>
      </c>
      <c r="G53" s="683"/>
      <c r="H53" s="682" t="s">
        <v>210</v>
      </c>
      <c r="I53" s="683"/>
      <c r="J53" s="682" t="s">
        <v>204</v>
      </c>
      <c r="K53" s="684"/>
    </row>
    <row r="54" spans="1:11" ht="15" customHeight="1">
      <c r="A54" s="685"/>
      <c r="B54" s="101" t="s">
        <v>124</v>
      </c>
      <c r="C54" s="101" t="s">
        <v>86</v>
      </c>
      <c r="D54" s="101" t="s">
        <v>124</v>
      </c>
      <c r="E54" s="101" t="s">
        <v>86</v>
      </c>
      <c r="F54" s="101" t="s">
        <v>124</v>
      </c>
      <c r="G54" s="101" t="s">
        <v>86</v>
      </c>
      <c r="H54" s="101" t="s">
        <v>124</v>
      </c>
      <c r="I54" s="101" t="s">
        <v>86</v>
      </c>
      <c r="J54" s="101" t="s">
        <v>124</v>
      </c>
      <c r="K54" s="318" t="s">
        <v>86</v>
      </c>
    </row>
    <row r="55" spans="1:11" ht="15" customHeight="1">
      <c r="A55" s="319" t="s">
        <v>96</v>
      </c>
      <c r="B55" s="106">
        <v>20333</v>
      </c>
      <c r="C55" s="107">
        <f>(B55/B72)*100</f>
        <v>44.00986991623558</v>
      </c>
      <c r="D55" s="106">
        <v>20085</v>
      </c>
      <c r="E55" s="107">
        <f>(D55/D72)*100</f>
        <v>44.641269559032715</v>
      </c>
      <c r="F55" s="106">
        <v>20330</v>
      </c>
      <c r="G55" s="107">
        <f>(F55/F72)*100</f>
        <v>45.97259282709963</v>
      </c>
      <c r="H55" s="106">
        <v>19720</v>
      </c>
      <c r="I55" s="107">
        <f>(H55/H72)*100</f>
        <v>46.08122634014114</v>
      </c>
      <c r="J55" s="106">
        <v>19131.83</v>
      </c>
      <c r="K55" s="320">
        <f>(J55/J72)*100</f>
        <v>46.657310084136085</v>
      </c>
    </row>
    <row r="56" spans="1:11" ht="15" customHeight="1">
      <c r="A56" s="110" t="s">
        <v>88</v>
      </c>
      <c r="B56" s="113">
        <v>3584</v>
      </c>
      <c r="C56" s="109">
        <f>(B56/B72)*100</f>
        <v>7.757407848314972</v>
      </c>
      <c r="D56" s="113">
        <v>3584</v>
      </c>
      <c r="E56" s="109">
        <f>(D56/D72)*100</f>
        <v>7.965860597439544</v>
      </c>
      <c r="F56" s="113">
        <v>3584</v>
      </c>
      <c r="G56" s="109">
        <f>(F56/F72)*100</f>
        <v>8.104563339514268</v>
      </c>
      <c r="H56" s="113">
        <v>3333</v>
      </c>
      <c r="I56" s="109">
        <f>(H56/H72)*100</f>
        <v>7.788475019862598</v>
      </c>
      <c r="J56" s="113">
        <v>3333</v>
      </c>
      <c r="K56" s="310">
        <f>(J56/J72)*100</f>
        <v>8.128277039385441</v>
      </c>
    </row>
    <row r="57" spans="1:11" ht="15" customHeight="1">
      <c r="A57" s="110" t="s">
        <v>98</v>
      </c>
      <c r="B57" s="113">
        <v>3383</v>
      </c>
      <c r="C57" s="109">
        <f>(B57/B72)*100</f>
        <v>7.322352330036147</v>
      </c>
      <c r="D57" s="113">
        <v>3383</v>
      </c>
      <c r="E57" s="109">
        <f>(D57/D72)*100</f>
        <v>7.519114509246089</v>
      </c>
      <c r="F57" s="113">
        <v>3383</v>
      </c>
      <c r="G57" s="109">
        <f>(F57/F72)*100</f>
        <v>7.650038442404234</v>
      </c>
      <c r="H57" s="113">
        <v>3383</v>
      </c>
      <c r="I57" s="109">
        <f>(H57/H72)*100</f>
        <v>7.905313829041455</v>
      </c>
      <c r="J57" s="113">
        <v>3253</v>
      </c>
      <c r="K57" s="310">
        <f>(J57/J72)*100</f>
        <v>7.933178880624315</v>
      </c>
    </row>
    <row r="58" spans="1:11" ht="15" customHeight="1">
      <c r="A58" s="110" t="s">
        <v>89</v>
      </c>
      <c r="B58" s="113">
        <v>2354</v>
      </c>
      <c r="C58" s="109">
        <f>(B58/B72)*100</f>
        <v>5.09512781108634</v>
      </c>
      <c r="D58" s="113">
        <v>2354</v>
      </c>
      <c r="E58" s="109">
        <f>(D58/D72)*100</f>
        <v>5.232041251778094</v>
      </c>
      <c r="F58" s="113">
        <v>2354</v>
      </c>
      <c r="G58" s="109">
        <f>(F58/F72)*100</f>
        <v>5.3231423273483784</v>
      </c>
      <c r="H58" s="113">
        <v>2354</v>
      </c>
      <c r="I58" s="109">
        <f>(H58/H72)*100</f>
        <v>5.50077113614058</v>
      </c>
      <c r="J58" s="113">
        <v>2239</v>
      </c>
      <c r="K58" s="310">
        <f>(J58/J72)*100</f>
        <v>5.460309718327033</v>
      </c>
    </row>
    <row r="59" spans="1:11" ht="15" customHeight="1">
      <c r="A59" s="110" t="s">
        <v>90</v>
      </c>
      <c r="B59" s="113">
        <v>1917</v>
      </c>
      <c r="C59" s="109">
        <f>(B59/B72)*100</f>
        <v>4.149260838509989</v>
      </c>
      <c r="D59" s="113">
        <v>1917</v>
      </c>
      <c r="E59" s="109">
        <f>(D59/D72)*100</f>
        <v>4.260757467994311</v>
      </c>
      <c r="F59" s="113">
        <v>1917</v>
      </c>
      <c r="G59" s="109">
        <f>(F59/F72)*100</f>
        <v>4.334946406765863</v>
      </c>
      <c r="H59" s="113">
        <v>1829</v>
      </c>
      <c r="I59" s="109">
        <f>(H59/H72)*100</f>
        <v>4.2739636397625835</v>
      </c>
      <c r="J59" s="113">
        <v>1725</v>
      </c>
      <c r="K59" s="310">
        <f>(J59/J72)*100</f>
        <v>4.206804048286794</v>
      </c>
    </row>
    <row r="60" spans="1:11" ht="15" customHeight="1">
      <c r="A60" s="110" t="s">
        <v>188</v>
      </c>
      <c r="B60" s="113">
        <v>1583</v>
      </c>
      <c r="C60" s="109">
        <f>(B60/B72)*100</f>
        <v>3.4263327633601</v>
      </c>
      <c r="D60" s="113">
        <v>1583</v>
      </c>
      <c r="E60" s="109">
        <f>(D60/D72)*100</f>
        <v>3.5184032716927454</v>
      </c>
      <c r="F60" s="113">
        <v>1583</v>
      </c>
      <c r="G60" s="109">
        <f>(F60/F72)*100</f>
        <v>3.5796662294785406</v>
      </c>
      <c r="H60" s="113">
        <v>1583</v>
      </c>
      <c r="I60" s="109">
        <f>(H60/H72)*100</f>
        <v>3.699116698602608</v>
      </c>
      <c r="J60" s="113">
        <v>1302</v>
      </c>
      <c r="K60" s="310">
        <f>(J60/J72)*100</f>
        <v>3.1752225338373368</v>
      </c>
    </row>
    <row r="61" spans="1:11" ht="15" customHeight="1">
      <c r="A61" s="110" t="s">
        <v>87</v>
      </c>
      <c r="B61" s="113">
        <v>1439</v>
      </c>
      <c r="C61" s="109">
        <f>(B61/B72)*100</f>
        <v>3.1146511980260168</v>
      </c>
      <c r="D61" s="113">
        <v>1439</v>
      </c>
      <c r="E61" s="109">
        <f>(D61/D72)*100</f>
        <v>3.1983463726884778</v>
      </c>
      <c r="F61" s="113">
        <v>1439</v>
      </c>
      <c r="G61" s="109">
        <f>(F61/F72)*100</f>
        <v>3.2540364524444843</v>
      </c>
      <c r="H61" s="113">
        <v>1439</v>
      </c>
      <c r="I61" s="109">
        <f>(H61/H72)*100</f>
        <v>3.3626209281675</v>
      </c>
      <c r="J61" s="113">
        <v>1308</v>
      </c>
      <c r="K61" s="310">
        <f>(J61/J72)*100</f>
        <v>3.1898548957444213</v>
      </c>
    </row>
    <row r="62" spans="1:11" ht="15" customHeight="1">
      <c r="A62" s="110" t="s">
        <v>150</v>
      </c>
      <c r="B62" s="108">
        <v>345</v>
      </c>
      <c r="C62" s="109">
        <f>(B62/B72)*100</f>
        <v>0.7467370836129088</v>
      </c>
      <c r="D62" s="108">
        <v>345</v>
      </c>
      <c r="E62" s="109">
        <f>(D62/D72)*100</f>
        <v>0.766802987197724</v>
      </c>
      <c r="F62" s="108">
        <v>345</v>
      </c>
      <c r="G62" s="109">
        <f>(F62/F72)*100</f>
        <v>0.7801546741440911</v>
      </c>
      <c r="H62" s="108">
        <v>345</v>
      </c>
      <c r="I62" s="109">
        <f>(H62/H72)*100</f>
        <v>0.8061877833341122</v>
      </c>
      <c r="J62" s="108">
        <v>345</v>
      </c>
      <c r="K62" s="310">
        <f>(J62/J72)*100</f>
        <v>0.8413608096573589</v>
      </c>
    </row>
    <row r="63" spans="1:11" ht="15" customHeight="1">
      <c r="A63" s="110" t="s">
        <v>92</v>
      </c>
      <c r="B63" s="113">
        <v>340</v>
      </c>
      <c r="C63" s="109">
        <f>(B63/B72)*100</f>
        <v>0.7359148070388087</v>
      </c>
      <c r="D63" s="113">
        <v>340</v>
      </c>
      <c r="E63" s="109">
        <f>(D63/D72)*100</f>
        <v>0.7556899004267426</v>
      </c>
      <c r="F63" s="113">
        <v>340</v>
      </c>
      <c r="G63" s="109">
        <f>(F63/F72)*100</f>
        <v>0.768848084663742</v>
      </c>
      <c r="H63" s="113">
        <v>340</v>
      </c>
      <c r="I63" s="109">
        <f>(H63/H72)*100</f>
        <v>0.7945039024162265</v>
      </c>
      <c r="J63" s="113">
        <v>340</v>
      </c>
      <c r="K63" s="310">
        <f>(J63/J72)*100</f>
        <v>0.8291671747347884</v>
      </c>
    </row>
    <row r="64" spans="1:11" ht="15" customHeight="1">
      <c r="A64" s="311" t="s">
        <v>97</v>
      </c>
      <c r="B64" s="113">
        <v>317</v>
      </c>
      <c r="C64" s="109">
        <f>(B64/B72)*100</f>
        <v>0.6861323347979481</v>
      </c>
      <c r="D64" s="113">
        <v>317</v>
      </c>
      <c r="E64" s="109">
        <f>(D64/D72)*100</f>
        <v>0.7045697012802276</v>
      </c>
      <c r="F64" s="113">
        <v>317</v>
      </c>
      <c r="G64" s="109">
        <f>(F64/F72)*100</f>
        <v>0.7168377730541359</v>
      </c>
      <c r="H64" s="113">
        <v>317</v>
      </c>
      <c r="I64" s="109">
        <f>(H64/H72)*100</f>
        <v>0.7407580501939525</v>
      </c>
      <c r="J64" s="113">
        <v>317</v>
      </c>
      <c r="K64" s="310">
        <f>(J64/J72)*100</f>
        <v>0.7730764540909646</v>
      </c>
    </row>
    <row r="65" spans="1:11" ht="15" customHeight="1">
      <c r="A65" s="311" t="s">
        <v>132</v>
      </c>
      <c r="B65" s="113">
        <v>275</v>
      </c>
      <c r="C65" s="109">
        <f>(B65/B72)*100</f>
        <v>0.595225211575507</v>
      </c>
      <c r="D65" s="113">
        <v>275</v>
      </c>
      <c r="E65" s="109">
        <f>(D65/D72)*100</f>
        <v>0.611219772403983</v>
      </c>
      <c r="F65" s="113">
        <v>275</v>
      </c>
      <c r="G65" s="109">
        <f>(F65/F72)*100</f>
        <v>0.6218624214192031</v>
      </c>
      <c r="H65" s="113">
        <v>271</v>
      </c>
      <c r="I65" s="109">
        <f>(H65/H72)*100</f>
        <v>0.6332663457494041</v>
      </c>
      <c r="J65" s="113">
        <v>275</v>
      </c>
      <c r="K65" s="310">
        <f>(J65/J72)*100</f>
        <v>0.670649920741373</v>
      </c>
    </row>
    <row r="66" spans="1:11" ht="15" customHeight="1">
      <c r="A66" s="311" t="s">
        <v>234</v>
      </c>
      <c r="B66" s="113">
        <v>251</v>
      </c>
      <c r="C66" s="109">
        <f>(B66/B72)*100</f>
        <v>0.5432782840198264</v>
      </c>
      <c r="D66" s="113">
        <v>251</v>
      </c>
      <c r="E66" s="109">
        <f>(D66/D72)*100</f>
        <v>0.5578769559032717</v>
      </c>
      <c r="F66" s="113">
        <v>251</v>
      </c>
      <c r="G66" s="109">
        <f>(F66/F72)*100</f>
        <v>0.5675907919135272</v>
      </c>
      <c r="H66" s="113">
        <v>270</v>
      </c>
      <c r="I66" s="109">
        <f>(H66/H72)*100</f>
        <v>0.630929569565827</v>
      </c>
      <c r="J66" s="113">
        <v>282</v>
      </c>
      <c r="K66" s="310">
        <f>(J66/J72)*100</f>
        <v>0.6877210096329716</v>
      </c>
    </row>
    <row r="67" spans="1:11" ht="15" customHeight="1">
      <c r="A67" s="311" t="s">
        <v>99</v>
      </c>
      <c r="B67" s="113">
        <v>250</v>
      </c>
      <c r="C67" s="109">
        <f>(B67/B72)*100</f>
        <v>0.5411138287050064</v>
      </c>
      <c r="D67" s="113">
        <v>250</v>
      </c>
      <c r="E67" s="109">
        <f>(D67/D72)*100</f>
        <v>0.5556543385490753</v>
      </c>
      <c r="F67" s="113">
        <v>250</v>
      </c>
      <c r="G67" s="109">
        <f>(F67/F72)*100</f>
        <v>0.5653294740174574</v>
      </c>
      <c r="H67" s="113">
        <v>250</v>
      </c>
      <c r="I67" s="109">
        <f>(H67/H72)*100</f>
        <v>0.5841940458942843</v>
      </c>
      <c r="J67" s="113">
        <v>250</v>
      </c>
      <c r="K67" s="310">
        <f>(J67/J72)*100</f>
        <v>0.6096817461285209</v>
      </c>
    </row>
    <row r="68" spans="1:11" ht="15" customHeight="1">
      <c r="A68" s="110" t="s">
        <v>133</v>
      </c>
      <c r="B68" s="113">
        <v>204</v>
      </c>
      <c r="C68" s="109">
        <f>(B68/B72)*100</f>
        <v>0.44154888422328525</v>
      </c>
      <c r="D68" s="113">
        <v>204</v>
      </c>
      <c r="E68" s="109">
        <f>(D68/D72)*100</f>
        <v>0.4534139402560455</v>
      </c>
      <c r="F68" s="113">
        <v>204</v>
      </c>
      <c r="G68" s="109">
        <f>(F68/F72)*100</f>
        <v>0.46130885079824524</v>
      </c>
      <c r="H68" s="113">
        <v>202</v>
      </c>
      <c r="I68" s="109">
        <f>(H68/H72)*100</f>
        <v>0.47202878908258167</v>
      </c>
      <c r="J68" s="113">
        <v>199</v>
      </c>
      <c r="K68" s="310">
        <f>(J68/J72)*100</f>
        <v>0.4853066699183026</v>
      </c>
    </row>
    <row r="69" spans="1:11" ht="15" customHeight="1">
      <c r="A69" s="311" t="s">
        <v>232</v>
      </c>
      <c r="B69" s="113">
        <v>140</v>
      </c>
      <c r="C69" s="109">
        <f>(B69/B72)*100</f>
        <v>0.30302374407480354</v>
      </c>
      <c r="D69" s="113">
        <v>140</v>
      </c>
      <c r="E69" s="109">
        <f>(D69/D72)*100</f>
        <v>0.3111664295874822</v>
      </c>
      <c r="F69" s="113">
        <v>140</v>
      </c>
      <c r="G69" s="109">
        <f>(F69/F72)*100</f>
        <v>0.3165845054497761</v>
      </c>
      <c r="H69" s="113">
        <v>140</v>
      </c>
      <c r="I69" s="109">
        <f>(H69/H72)*100</f>
        <v>0.3271486657007992</v>
      </c>
      <c r="J69" s="113">
        <v>140</v>
      </c>
      <c r="K69" s="310">
        <f>(J69/J72)*100</f>
        <v>0.3414217778319717</v>
      </c>
    </row>
    <row r="70" spans="1:11" ht="15" customHeight="1" hidden="1">
      <c r="A70" s="110"/>
      <c r="B70" s="113">
        <f>SUM(B55:B69)</f>
        <v>36715</v>
      </c>
      <c r="C70" s="109"/>
      <c r="D70" s="113">
        <f>SUM(D55:D69)</f>
        <v>36467</v>
      </c>
      <c r="E70" s="109"/>
      <c r="F70" s="113">
        <f>SUM(F55:F69)</f>
        <v>36712</v>
      </c>
      <c r="G70" s="109"/>
      <c r="H70" s="113">
        <f>SUM(H55:H69)</f>
        <v>35776</v>
      </c>
      <c r="I70" s="109"/>
      <c r="J70" s="113">
        <f>SUM(J55:J69)</f>
        <v>34439.83</v>
      </c>
      <c r="K70" s="310"/>
    </row>
    <row r="71" spans="1:11" ht="15" customHeight="1">
      <c r="A71" s="321" t="s">
        <v>91</v>
      </c>
      <c r="B71" s="112">
        <f>B72-B70</f>
        <v>9486</v>
      </c>
      <c r="C71" s="111">
        <f>(B71/B72)*100</f>
        <v>20.53202311638276</v>
      </c>
      <c r="D71" s="112">
        <f>D72-D70</f>
        <v>8525</v>
      </c>
      <c r="E71" s="111">
        <f>(D71/D72)*100</f>
        <v>18.94781294452347</v>
      </c>
      <c r="F71" s="112">
        <f>F72-F70</f>
        <v>7510</v>
      </c>
      <c r="G71" s="111">
        <f>(F71/F72)*100</f>
        <v>16.98249739948442</v>
      </c>
      <c r="H71" s="112">
        <f>H72-H70</f>
        <v>7018</v>
      </c>
      <c r="I71" s="111">
        <f>(H71/H72)*100</f>
        <v>16.39949525634435</v>
      </c>
      <c r="J71" s="112">
        <f>J72-J70</f>
        <v>6565.169999999998</v>
      </c>
      <c r="K71" s="312">
        <f>(J71/J72)*100</f>
        <v>16.01065723692232</v>
      </c>
    </row>
    <row r="72" spans="1:11" ht="18" customHeight="1">
      <c r="A72" s="313" t="s">
        <v>2</v>
      </c>
      <c r="B72" s="260">
        <v>46201</v>
      </c>
      <c r="C72" s="261">
        <f>SUM(C55:C71)</f>
        <v>99.99999999999999</v>
      </c>
      <c r="D72" s="260">
        <v>44992</v>
      </c>
      <c r="E72" s="261">
        <f>SUM(E55:E71)</f>
        <v>100</v>
      </c>
      <c r="F72" s="260">
        <v>44222</v>
      </c>
      <c r="G72" s="261">
        <f>SUM(G55:G71)</f>
        <v>100.00000000000001</v>
      </c>
      <c r="H72" s="260">
        <v>42794</v>
      </c>
      <c r="I72" s="261">
        <f>SUM(I55:I71)</f>
        <v>100</v>
      </c>
      <c r="J72" s="260">
        <v>41005</v>
      </c>
      <c r="K72" s="314">
        <f>SUM(K55:K71)</f>
        <v>100</v>
      </c>
    </row>
    <row r="73" spans="1:5" ht="15" customHeight="1">
      <c r="A73" s="201" t="s">
        <v>136</v>
      </c>
      <c r="B73" s="105"/>
      <c r="C73" s="105"/>
      <c r="D73" s="33"/>
      <c r="E73" s="33"/>
    </row>
    <row r="74" spans="1:11" ht="12.75" customHeight="1">
      <c r="A74" s="168" t="s">
        <v>273</v>
      </c>
      <c r="B74"/>
      <c r="C74"/>
      <c r="D74" s="3"/>
      <c r="E74" s="3"/>
      <c r="F74" s="100"/>
      <c r="G74" s="100"/>
      <c r="H74" s="100"/>
      <c r="I74" s="100"/>
      <c r="J74" s="100"/>
      <c r="K74" s="100"/>
    </row>
    <row r="75" spans="1:11" ht="15">
      <c r="A75"/>
      <c r="B75"/>
      <c r="C75"/>
      <c r="D75" s="36"/>
      <c r="E75" s="100"/>
      <c r="F75" s="100"/>
      <c r="G75" s="100"/>
      <c r="H75" s="100"/>
      <c r="I75" s="100"/>
      <c r="J75" s="100"/>
      <c r="K75" s="100"/>
    </row>
    <row r="76" spans="1:4" ht="15">
      <c r="A76"/>
      <c r="B76"/>
      <c r="C76"/>
      <c r="D76" s="100"/>
    </row>
  </sheetData>
  <sheetProtection/>
  <mergeCells count="25">
    <mergeCell ref="A1:K1"/>
    <mergeCell ref="A2:K2"/>
    <mergeCell ref="A4:K4"/>
    <mergeCell ref="A6:K6"/>
    <mergeCell ref="A3:K3"/>
    <mergeCell ref="F30:G30"/>
    <mergeCell ref="H30:I30"/>
    <mergeCell ref="J30:K30"/>
    <mergeCell ref="A29:K29"/>
    <mergeCell ref="A30:A31"/>
    <mergeCell ref="D30:E30"/>
    <mergeCell ref="B30:C30"/>
    <mergeCell ref="B53:C53"/>
    <mergeCell ref="D53:E53"/>
    <mergeCell ref="A52:K52"/>
    <mergeCell ref="A53:A54"/>
    <mergeCell ref="F53:G53"/>
    <mergeCell ref="H53:I53"/>
    <mergeCell ref="J53:K53"/>
    <mergeCell ref="B7:C7"/>
    <mergeCell ref="F7:G7"/>
    <mergeCell ref="H7:I7"/>
    <mergeCell ref="J7:K7"/>
    <mergeCell ref="A7:A8"/>
    <mergeCell ref="D7:E7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25 B56:B71 D50:D52 K49:K52 B47:C48 B50:B52 G49:G52 E49:E52 A13 A53:A71 A12 C12 B54 D31:K31 A30:A31 A24:A26 C13 A7:A10 B27:K29 D70:D71 H50:H52 F50:F52 J50:J52 J70:J71 K54:K71 J54 H70:H71 I54:I71 H54 F70:F71 G54:G71 F54 E54:E71 D54 A47:A50 D47:H48 J47:K48 C9:C10 C49:C52 C54:C71 I47:I52" formula="1"/>
    <ignoredError sqref="C7 C24 C26 B31:C31 I12 G13 G12 K12 E12 G26 I26 I13 K26 F8 B8:D8 K24 G8:G10 I24 G24 E24 E13 E26 B24:B25 D25:K25 I7:I10 K8:K10 E8:E10 K13" numberStoredAsText="1" formula="1"/>
    <ignoredError sqref="D9:D10 F12 D53:K53 J7:J9 H24 D30:K30 J12 H12 H13 K7 F13 J13 J24 D7:G7 D24 H7:H9 D12 F9 F24 B7 B3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115.28125" style="18" customWidth="1"/>
    <col min="2" max="2" width="2.421875" style="18" hidden="1" customWidth="1"/>
    <col min="3" max="16384" width="9.140625" style="18" customWidth="1"/>
  </cols>
  <sheetData>
    <row r="1" spans="1:2" ht="19.5" customHeight="1">
      <c r="A1" s="166" t="s">
        <v>76</v>
      </c>
      <c r="B1" s="167"/>
    </row>
    <row r="2" spans="1:2" ht="19.5" customHeight="1">
      <c r="A2" s="556" t="s">
        <v>342</v>
      </c>
      <c r="B2" s="556"/>
    </row>
    <row r="3" spans="1:10" ht="19.5" customHeight="1">
      <c r="A3" s="478" t="s">
        <v>348</v>
      </c>
      <c r="B3" s="480"/>
      <c r="C3" s="480"/>
      <c r="D3" s="480"/>
      <c r="E3" s="480"/>
      <c r="F3" s="480"/>
      <c r="G3" s="480"/>
      <c r="H3" s="480"/>
      <c r="I3" s="480"/>
      <c r="J3" s="481"/>
    </row>
    <row r="4" spans="1:2" ht="19.5" customHeight="1">
      <c r="A4" s="219"/>
      <c r="B4" s="19"/>
    </row>
    <row r="5" spans="1:2" ht="19.5" customHeight="1">
      <c r="A5" s="219"/>
      <c r="B5" s="19"/>
    </row>
    <row r="6" spans="1:2" s="22" customFormat="1" ht="19.5" customHeight="1">
      <c r="A6" s="20" t="s">
        <v>344</v>
      </c>
      <c r="B6" s="173"/>
    </row>
    <row r="7" spans="1:2" s="22" customFormat="1" ht="19.5" customHeight="1">
      <c r="A7" s="20" t="s">
        <v>326</v>
      </c>
      <c r="B7" s="173"/>
    </row>
    <row r="8" spans="1:2" s="22" customFormat="1" ht="19.5" customHeight="1">
      <c r="A8" s="20" t="s">
        <v>343</v>
      </c>
      <c r="B8" s="174"/>
    </row>
    <row r="9" spans="1:2" s="22" customFormat="1" ht="19.5" customHeight="1">
      <c r="A9" s="20" t="s">
        <v>345</v>
      </c>
      <c r="B9" s="174"/>
    </row>
    <row r="10" spans="1:2" s="22" customFormat="1" ht="19.5" customHeight="1">
      <c r="A10" s="20"/>
      <c r="B10" s="173"/>
    </row>
    <row r="11" spans="1:2" s="22" customFormat="1" ht="19.5" customHeight="1">
      <c r="A11" s="20"/>
      <c r="B11" s="173"/>
    </row>
    <row r="12" spans="1:2" s="22" customFormat="1" ht="19.5" customHeight="1">
      <c r="A12" s="20"/>
      <c r="B12" s="173"/>
    </row>
    <row r="13" spans="1:2" s="22" customFormat="1" ht="19.5" customHeight="1">
      <c r="A13" s="20"/>
      <c r="B13" s="174"/>
    </row>
    <row r="14" spans="1:2" s="22" customFormat="1" ht="19.5" customHeight="1">
      <c r="A14" s="20"/>
      <c r="B14" s="174"/>
    </row>
    <row r="15" spans="1:2" s="22" customFormat="1" ht="19.5" customHeight="1">
      <c r="A15" s="20"/>
      <c r="B15" s="174"/>
    </row>
    <row r="16" spans="1:2" s="22" customFormat="1" ht="19.5" customHeight="1">
      <c r="A16" s="20"/>
      <c r="B16" s="173"/>
    </row>
    <row r="17" spans="1:2" s="22" customFormat="1" ht="19.5" customHeight="1">
      <c r="A17" s="557" t="s">
        <v>75</v>
      </c>
      <c r="B17" s="175"/>
    </row>
    <row r="18" spans="1:2" s="22" customFormat="1" ht="19.5" customHeight="1">
      <c r="A18" s="557"/>
      <c r="B18" s="175"/>
    </row>
    <row r="19" spans="1:2" s="22" customFormat="1" ht="19.5" customHeight="1">
      <c r="A19" s="23" t="s">
        <v>346</v>
      </c>
      <c r="B19" s="176"/>
    </row>
    <row r="20" spans="1:2" s="22" customFormat="1" ht="19.5" customHeight="1">
      <c r="A20" s="23"/>
      <c r="B20" s="176"/>
    </row>
    <row r="21" spans="1:2" s="22" customFormat="1" ht="19.5" customHeight="1">
      <c r="A21" s="20"/>
      <c r="B21" s="176"/>
    </row>
    <row r="22" spans="1:2" s="22" customFormat="1" ht="19.5" customHeight="1">
      <c r="A22" s="23" t="s">
        <v>77</v>
      </c>
      <c r="B22" s="176"/>
    </row>
    <row r="23" spans="1:2" s="22" customFormat="1" ht="19.5" customHeight="1">
      <c r="A23" s="20"/>
      <c r="B23" s="176"/>
    </row>
    <row r="24" spans="1:2" s="22" customFormat="1" ht="19.5" customHeight="1">
      <c r="A24" s="172" t="s">
        <v>195</v>
      </c>
      <c r="B24" s="176"/>
    </row>
    <row r="25" spans="1:2" s="22" customFormat="1" ht="19.5" customHeight="1">
      <c r="A25" s="172"/>
      <c r="B25" s="176"/>
    </row>
    <row r="26" spans="1:2" s="22" customFormat="1" ht="19.5" customHeight="1">
      <c r="A26" s="172" t="s">
        <v>194</v>
      </c>
      <c r="B26" s="176"/>
    </row>
    <row r="27" spans="1:2" s="22" customFormat="1" ht="19.5" customHeight="1">
      <c r="A27" s="20" t="s">
        <v>151</v>
      </c>
      <c r="B27" s="176"/>
    </row>
    <row r="28" spans="1:2" s="22" customFormat="1" ht="19.5" customHeight="1">
      <c r="A28" s="20" t="s">
        <v>193</v>
      </c>
      <c r="B28" s="176"/>
    </row>
    <row r="29" spans="1:2" s="22" customFormat="1" ht="19.5" customHeight="1">
      <c r="A29" s="20" t="s">
        <v>152</v>
      </c>
      <c r="B29" s="176"/>
    </row>
    <row r="30" s="22" customFormat="1" ht="19.5" customHeight="1">
      <c r="B30" s="176"/>
    </row>
    <row r="31" s="22" customFormat="1" ht="19.5" customHeight="1">
      <c r="B31" s="176"/>
    </row>
    <row r="32" spans="1:2" s="22" customFormat="1" ht="19.5" customHeight="1">
      <c r="A32" s="20"/>
      <c r="B32" s="176"/>
    </row>
    <row r="33" spans="1:2" s="22" customFormat="1" ht="19.5" customHeight="1">
      <c r="A33" s="20"/>
      <c r="B33" s="176"/>
    </row>
    <row r="34" spans="1:2" s="22" customFormat="1" ht="19.5" customHeight="1">
      <c r="A34" s="20"/>
      <c r="B34" s="176"/>
    </row>
    <row r="35" spans="1:2" s="22" customFormat="1" ht="19.5" customHeight="1">
      <c r="A35" s="20"/>
      <c r="B35" s="176"/>
    </row>
    <row r="36" spans="1:2" s="22" customFormat="1" ht="19.5" customHeight="1">
      <c r="A36" s="177" t="s">
        <v>187</v>
      </c>
      <c r="B36" s="176"/>
    </row>
    <row r="37" spans="1:2" s="22" customFormat="1" ht="19.5" customHeight="1">
      <c r="A37" s="177" t="s">
        <v>134</v>
      </c>
      <c r="B37" s="176"/>
    </row>
    <row r="38" spans="1:2" s="22" customFormat="1" ht="19.5" customHeight="1">
      <c r="A38" s="177" t="s">
        <v>156</v>
      </c>
      <c r="B38" s="176"/>
    </row>
    <row r="39" spans="1:2" s="22" customFormat="1" ht="19.5" customHeight="1">
      <c r="A39" s="177" t="s">
        <v>227</v>
      </c>
      <c r="B39" s="176"/>
    </row>
    <row r="40" spans="1:2" s="22" customFormat="1" ht="19.5" customHeight="1">
      <c r="A40" s="177" t="s">
        <v>347</v>
      </c>
      <c r="B40" s="176"/>
    </row>
    <row r="41" spans="1:2" s="22" customFormat="1" ht="19.5" customHeight="1">
      <c r="A41" s="263" t="s">
        <v>262</v>
      </c>
      <c r="B41" s="176"/>
    </row>
    <row r="42" spans="1:2" s="22" customFormat="1" ht="19.5" customHeight="1">
      <c r="A42" s="177" t="s">
        <v>237</v>
      </c>
      <c r="B42" s="176"/>
    </row>
    <row r="43" spans="1:2" s="22" customFormat="1" ht="19.5" customHeight="1">
      <c r="A43" s="177"/>
      <c r="B43" s="176"/>
    </row>
    <row r="44" spans="1:2" s="22" customFormat="1" ht="19.5" customHeight="1">
      <c r="A44" s="177"/>
      <c r="B44" s="176"/>
    </row>
    <row r="45" spans="1:2" s="22" customFormat="1" ht="19.5" customHeight="1">
      <c r="A45" s="177"/>
      <c r="B45" s="176"/>
    </row>
    <row r="46" spans="1:2" s="22" customFormat="1" ht="19.5" customHeight="1">
      <c r="A46" s="177"/>
      <c r="B46" s="176"/>
    </row>
    <row r="47" ht="19.5" customHeight="1"/>
    <row r="48" spans="1:2" s="22" customFormat="1" ht="19.5" customHeight="1">
      <c r="A48" s="27" t="s">
        <v>78</v>
      </c>
      <c r="B48" s="25"/>
    </row>
    <row r="49" spans="1:2" s="22" customFormat="1" ht="19.5" customHeight="1">
      <c r="A49" s="555"/>
      <c r="B49" s="555"/>
    </row>
    <row r="50" spans="1:2" s="22" customFormat="1" ht="19.5" customHeight="1">
      <c r="A50" s="26" t="s">
        <v>302</v>
      </c>
      <c r="B50" s="21"/>
    </row>
    <row r="51" spans="1:2" s="22" customFormat="1" ht="19.5" customHeight="1">
      <c r="A51" s="26" t="s">
        <v>253</v>
      </c>
      <c r="B51" s="21"/>
    </row>
    <row r="52" spans="1:2" s="22" customFormat="1" ht="19.5" customHeight="1">
      <c r="A52" s="26" t="s">
        <v>219</v>
      </c>
      <c r="B52" s="21"/>
    </row>
    <row r="53" spans="1:2" s="22" customFormat="1" ht="19.5" customHeight="1">
      <c r="A53" s="183" t="s">
        <v>214</v>
      </c>
      <c r="B53" s="21"/>
    </row>
    <row r="54" spans="1:2" s="22" customFormat="1" ht="19.5" customHeight="1">
      <c r="A54" s="26" t="s">
        <v>264</v>
      </c>
      <c r="B54" s="21"/>
    </row>
    <row r="55" spans="1:2" ht="19.5" customHeight="1">
      <c r="A55" s="26" t="s">
        <v>138</v>
      </c>
      <c r="B55" s="24"/>
    </row>
    <row r="56" spans="1:2" ht="19.5" customHeight="1">
      <c r="A56" s="26" t="s">
        <v>82</v>
      </c>
      <c r="B56" s="24"/>
    </row>
    <row r="57" spans="1:2" ht="19.5" customHeight="1">
      <c r="A57" s="26" t="s">
        <v>153</v>
      </c>
      <c r="B57" s="24"/>
    </row>
    <row r="58" spans="1:2" ht="19.5" customHeight="1">
      <c r="A58" s="26" t="s">
        <v>206</v>
      </c>
      <c r="B58" s="24"/>
    </row>
    <row r="59" spans="1:2" ht="19.5" customHeight="1">
      <c r="A59" s="26" t="s">
        <v>207</v>
      </c>
      <c r="B59" s="24"/>
    </row>
    <row r="60" spans="1:2" ht="19.5" customHeight="1">
      <c r="A60" s="26" t="s">
        <v>265</v>
      </c>
      <c r="B60" s="24"/>
    </row>
    <row r="61" spans="1:2" ht="19.5" customHeight="1">
      <c r="A61" s="26" t="s">
        <v>303</v>
      </c>
      <c r="B61" s="24"/>
    </row>
    <row r="62" spans="1:2" ht="19.5" customHeight="1">
      <c r="A62" s="26" t="s">
        <v>304</v>
      </c>
      <c r="B62" s="24"/>
    </row>
    <row r="63" spans="1:2" ht="19.5" customHeight="1">
      <c r="A63" s="28" t="s">
        <v>209</v>
      </c>
      <c r="B63" s="24"/>
    </row>
    <row r="64" spans="1:2" ht="15">
      <c r="A64" s="220"/>
      <c r="B64" s="24"/>
    </row>
    <row r="65" spans="1:2" ht="15">
      <c r="A65" s="220"/>
      <c r="B65" s="24"/>
    </row>
  </sheetData>
  <sheetProtection/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48" customWidth="1"/>
    <col min="2" max="2" width="7.00390625" style="48" customWidth="1"/>
    <col min="3" max="3" width="9.7109375" style="48" customWidth="1"/>
    <col min="4" max="4" width="9.28125" style="48" customWidth="1"/>
    <col min="5" max="5" width="9.57421875" style="48" customWidth="1"/>
    <col min="6" max="6" width="9.00390625" style="48" customWidth="1"/>
    <col min="7" max="7" width="9.7109375" style="48" customWidth="1"/>
    <col min="8" max="8" width="9.00390625" style="48" customWidth="1"/>
    <col min="9" max="9" width="12.421875" style="48" customWidth="1"/>
    <col min="10" max="10" width="11.7109375" style="94" customWidth="1"/>
    <col min="11" max="12" width="9.140625" style="48" customWidth="1"/>
    <col min="13" max="13" width="11.8515625" style="48" customWidth="1"/>
    <col min="14" max="16384" width="9.140625" style="48" customWidth="1"/>
  </cols>
  <sheetData>
    <row r="1" spans="1:13" ht="13.5" thickBot="1">
      <c r="A1" s="45"/>
      <c r="B1" s="46"/>
      <c r="C1" s="46"/>
      <c r="D1" s="46"/>
      <c r="E1" s="46"/>
      <c r="F1" s="46"/>
      <c r="G1" s="46"/>
      <c r="H1" s="46"/>
      <c r="I1" s="46"/>
      <c r="J1" s="47"/>
      <c r="K1" s="46"/>
      <c r="L1" s="46"/>
      <c r="M1" s="46"/>
    </row>
    <row r="2" spans="1:13" ht="15" customHeight="1" thickBot="1">
      <c r="A2" s="576" t="s">
        <v>100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8"/>
    </row>
    <row r="3" spans="1:13" ht="17.25" customHeight="1">
      <c r="A3" s="558" t="s">
        <v>101</v>
      </c>
      <c r="B3" s="559"/>
      <c r="C3" s="560"/>
      <c r="D3" s="579" t="s">
        <v>102</v>
      </c>
      <c r="E3" s="580"/>
      <c r="F3" s="49" t="s">
        <v>103</v>
      </c>
      <c r="G3" s="564" t="s">
        <v>104</v>
      </c>
      <c r="H3" s="565"/>
      <c r="I3" s="565"/>
      <c r="J3" s="566"/>
      <c r="K3" s="564" t="s">
        <v>105</v>
      </c>
      <c r="L3" s="565"/>
      <c r="M3" s="566"/>
    </row>
    <row r="4" spans="1:13" ht="21" customHeight="1">
      <c r="A4" s="561"/>
      <c r="B4" s="562"/>
      <c r="C4" s="563"/>
      <c r="D4" s="50" t="s">
        <v>106</v>
      </c>
      <c r="E4" s="51" t="s">
        <v>107</v>
      </c>
      <c r="F4" s="52" t="s">
        <v>108</v>
      </c>
      <c r="G4" s="50" t="s">
        <v>109</v>
      </c>
      <c r="H4" s="53" t="s">
        <v>107</v>
      </c>
      <c r="I4" s="54" t="s">
        <v>110</v>
      </c>
      <c r="J4" s="55" t="s">
        <v>111</v>
      </c>
      <c r="K4" s="50" t="s">
        <v>109</v>
      </c>
      <c r="L4" s="53" t="s">
        <v>107</v>
      </c>
      <c r="M4" s="55" t="s">
        <v>112</v>
      </c>
    </row>
    <row r="5" spans="1:13" ht="15" customHeight="1">
      <c r="A5" s="574" t="s">
        <v>46</v>
      </c>
      <c r="B5" s="574"/>
      <c r="C5" s="575"/>
      <c r="D5" s="56">
        <v>852</v>
      </c>
      <c r="E5" s="57">
        <f aca="true" t="shared" si="0" ref="E5:E19">D5*100</f>
        <v>85200</v>
      </c>
      <c r="F5" s="58">
        <v>190</v>
      </c>
      <c r="G5" s="56">
        <v>819</v>
      </c>
      <c r="H5" s="59">
        <f aca="true" t="shared" si="1" ref="H5:H11">G5*100</f>
        <v>81900</v>
      </c>
      <c r="I5" s="60">
        <v>374100</v>
      </c>
      <c r="J5" s="61">
        <f aca="true" t="shared" si="2" ref="J5:J12">I5/H5</f>
        <v>4.5677655677655675</v>
      </c>
      <c r="K5" s="56">
        <v>274</v>
      </c>
      <c r="L5" s="59">
        <f aca="true" t="shared" si="3" ref="L5:L11">K5*100</f>
        <v>27400</v>
      </c>
      <c r="M5" s="61">
        <f aca="true" t="shared" si="4" ref="M5:M11">L5*190</f>
        <v>5206000</v>
      </c>
    </row>
    <row r="6" spans="1:13" ht="15" customHeight="1">
      <c r="A6" s="567" t="s">
        <v>44</v>
      </c>
      <c r="B6" s="567"/>
      <c r="C6" s="568"/>
      <c r="D6" s="62">
        <v>740</v>
      </c>
      <c r="E6" s="63">
        <f t="shared" si="0"/>
        <v>74000</v>
      </c>
      <c r="F6" s="58">
        <v>190</v>
      </c>
      <c r="G6" s="62">
        <v>127</v>
      </c>
      <c r="H6" s="59">
        <f t="shared" si="1"/>
        <v>12700</v>
      </c>
      <c r="I6" s="64">
        <v>12065</v>
      </c>
      <c r="J6" s="65">
        <f t="shared" si="2"/>
        <v>0.95</v>
      </c>
      <c r="K6" s="62">
        <v>10</v>
      </c>
      <c r="L6" s="59">
        <f t="shared" si="3"/>
        <v>1000</v>
      </c>
      <c r="M6" s="61">
        <f t="shared" si="4"/>
        <v>190000</v>
      </c>
    </row>
    <row r="7" spans="1:13" ht="15" customHeight="1">
      <c r="A7" s="567" t="s">
        <v>43</v>
      </c>
      <c r="B7" s="567"/>
      <c r="C7" s="568"/>
      <c r="D7" s="62">
        <v>6480</v>
      </c>
      <c r="E7" s="63">
        <f t="shared" si="0"/>
        <v>648000</v>
      </c>
      <c r="F7" s="58">
        <v>190</v>
      </c>
      <c r="G7" s="62">
        <v>5947</v>
      </c>
      <c r="H7" s="59">
        <f t="shared" si="1"/>
        <v>594700</v>
      </c>
      <c r="I7" s="64">
        <v>3809920</v>
      </c>
      <c r="J7" s="65">
        <f t="shared" si="2"/>
        <v>6.406457037161594</v>
      </c>
      <c r="K7" s="62">
        <v>1621</v>
      </c>
      <c r="L7" s="59">
        <f t="shared" si="3"/>
        <v>162100</v>
      </c>
      <c r="M7" s="61">
        <f t="shared" si="4"/>
        <v>30799000</v>
      </c>
    </row>
    <row r="8" spans="1:13" ht="15" customHeight="1">
      <c r="A8" s="567" t="s">
        <v>71</v>
      </c>
      <c r="B8" s="567"/>
      <c r="C8" s="568"/>
      <c r="D8" s="62">
        <v>1080</v>
      </c>
      <c r="E8" s="63">
        <f t="shared" si="0"/>
        <v>108000</v>
      </c>
      <c r="F8" s="58">
        <v>190</v>
      </c>
      <c r="G8" s="62">
        <v>1028</v>
      </c>
      <c r="H8" s="59">
        <f t="shared" si="1"/>
        <v>102800</v>
      </c>
      <c r="I8" s="64">
        <v>485840</v>
      </c>
      <c r="J8" s="65">
        <f t="shared" si="2"/>
        <v>4.726070038910506</v>
      </c>
      <c r="K8" s="62">
        <v>456</v>
      </c>
      <c r="L8" s="59">
        <f t="shared" si="3"/>
        <v>45600</v>
      </c>
      <c r="M8" s="61">
        <f t="shared" si="4"/>
        <v>8664000</v>
      </c>
    </row>
    <row r="9" spans="1:13" ht="15" customHeight="1">
      <c r="A9" s="567" t="s">
        <v>45</v>
      </c>
      <c r="B9" s="567"/>
      <c r="C9" s="568"/>
      <c r="D9" s="62">
        <v>1320</v>
      </c>
      <c r="E9" s="63">
        <f t="shared" si="0"/>
        <v>132000</v>
      </c>
      <c r="F9" s="58">
        <v>190</v>
      </c>
      <c r="G9" s="62">
        <v>1261</v>
      </c>
      <c r="H9" s="59">
        <f t="shared" si="1"/>
        <v>126100</v>
      </c>
      <c r="I9" s="64">
        <v>814000</v>
      </c>
      <c r="J9" s="65">
        <f t="shared" si="2"/>
        <v>6.455194290245837</v>
      </c>
      <c r="K9" s="62">
        <v>352</v>
      </c>
      <c r="L9" s="59">
        <f t="shared" si="3"/>
        <v>35200</v>
      </c>
      <c r="M9" s="61">
        <f t="shared" si="4"/>
        <v>6688000</v>
      </c>
    </row>
    <row r="10" spans="1:13" ht="15" customHeight="1">
      <c r="A10" s="567" t="s">
        <v>74</v>
      </c>
      <c r="B10" s="567"/>
      <c r="C10" s="568"/>
      <c r="D10" s="62">
        <v>108</v>
      </c>
      <c r="E10" s="63">
        <f t="shared" si="0"/>
        <v>10800</v>
      </c>
      <c r="F10" s="58">
        <v>190</v>
      </c>
      <c r="G10" s="62">
        <v>51</v>
      </c>
      <c r="H10" s="59">
        <f t="shared" si="1"/>
        <v>5100</v>
      </c>
      <c r="I10" s="64">
        <v>4845</v>
      </c>
      <c r="J10" s="65">
        <f t="shared" si="2"/>
        <v>0.95</v>
      </c>
      <c r="K10" s="62">
        <v>0</v>
      </c>
      <c r="L10" s="59">
        <f t="shared" si="3"/>
        <v>0</v>
      </c>
      <c r="M10" s="61">
        <f t="shared" si="4"/>
        <v>0</v>
      </c>
    </row>
    <row r="11" spans="1:13" ht="15" customHeight="1">
      <c r="A11" s="567" t="s">
        <v>113</v>
      </c>
      <c r="B11" s="567"/>
      <c r="C11" s="568"/>
      <c r="D11" s="62">
        <v>100</v>
      </c>
      <c r="E11" s="63">
        <f t="shared" si="0"/>
        <v>10000</v>
      </c>
      <c r="F11" s="58">
        <v>190</v>
      </c>
      <c r="G11" s="62">
        <v>87</v>
      </c>
      <c r="H11" s="59">
        <f t="shared" si="1"/>
        <v>8700</v>
      </c>
      <c r="I11" s="64">
        <v>8265</v>
      </c>
      <c r="J11" s="65">
        <f t="shared" si="2"/>
        <v>0.95</v>
      </c>
      <c r="K11" s="62">
        <v>10</v>
      </c>
      <c r="L11" s="59">
        <f t="shared" si="3"/>
        <v>1000</v>
      </c>
      <c r="M11" s="61">
        <f t="shared" si="4"/>
        <v>190000</v>
      </c>
    </row>
    <row r="12" spans="1:13" s="73" customFormat="1" ht="15" customHeight="1">
      <c r="A12" s="571" t="s">
        <v>114</v>
      </c>
      <c r="B12" s="571"/>
      <c r="C12" s="572"/>
      <c r="D12" s="66">
        <v>10680</v>
      </c>
      <c r="E12" s="67">
        <f t="shared" si="0"/>
        <v>1068000</v>
      </c>
      <c r="F12" s="68"/>
      <c r="G12" s="66">
        <f>SUM(G5:G11)</f>
        <v>9320</v>
      </c>
      <c r="H12" s="69">
        <f>SUM(H5:H11)</f>
        <v>932000</v>
      </c>
      <c r="I12" s="70">
        <f>SUM(I5:I11)</f>
        <v>5509035</v>
      </c>
      <c r="J12" s="71">
        <f t="shared" si="2"/>
        <v>5.910981759656653</v>
      </c>
      <c r="K12" s="66">
        <f>SUM(K5:K11)</f>
        <v>2723</v>
      </c>
      <c r="L12" s="69">
        <f>SUM(L5:L11)</f>
        <v>272300</v>
      </c>
      <c r="M12" s="72">
        <f>SUM(M5:M11)</f>
        <v>51737000</v>
      </c>
    </row>
    <row r="13" spans="1:13" s="78" customFormat="1" ht="15" customHeight="1">
      <c r="A13" s="567" t="s">
        <v>44</v>
      </c>
      <c r="B13" s="567"/>
      <c r="C13" s="568"/>
      <c r="D13" s="74">
        <v>320</v>
      </c>
      <c r="E13" s="63">
        <f t="shared" si="0"/>
        <v>32000</v>
      </c>
      <c r="F13" s="58">
        <v>114</v>
      </c>
      <c r="G13" s="74">
        <v>0</v>
      </c>
      <c r="H13" s="75">
        <v>0</v>
      </c>
      <c r="I13" s="76">
        <v>0</v>
      </c>
      <c r="J13" s="77">
        <v>0</v>
      </c>
      <c r="K13" s="74">
        <v>0</v>
      </c>
      <c r="L13" s="75">
        <v>0</v>
      </c>
      <c r="M13" s="61">
        <f>L13*190</f>
        <v>0</v>
      </c>
    </row>
    <row r="14" spans="1:13" s="78" customFormat="1" ht="15" customHeight="1">
      <c r="A14" s="571" t="s">
        <v>115</v>
      </c>
      <c r="B14" s="571"/>
      <c r="C14" s="572"/>
      <c r="D14" s="79">
        <v>320</v>
      </c>
      <c r="E14" s="67">
        <f t="shared" si="0"/>
        <v>32000</v>
      </c>
      <c r="F14" s="68"/>
      <c r="G14" s="79">
        <v>0</v>
      </c>
      <c r="H14" s="80">
        <v>0</v>
      </c>
      <c r="I14" s="81">
        <v>0</v>
      </c>
      <c r="J14" s="71">
        <v>0</v>
      </c>
      <c r="K14" s="79">
        <v>0</v>
      </c>
      <c r="L14" s="80">
        <v>0</v>
      </c>
      <c r="M14" s="71">
        <v>0</v>
      </c>
    </row>
    <row r="15" spans="1:13" ht="15" customHeight="1">
      <c r="A15" s="567" t="s">
        <v>46</v>
      </c>
      <c r="B15" s="567"/>
      <c r="C15" s="568"/>
      <c r="D15" s="62">
        <v>210</v>
      </c>
      <c r="E15" s="63">
        <f t="shared" si="0"/>
        <v>21000</v>
      </c>
      <c r="F15" s="58">
        <v>104</v>
      </c>
      <c r="G15" s="62">
        <v>0</v>
      </c>
      <c r="H15" s="82">
        <f>G15*100</f>
        <v>0</v>
      </c>
      <c r="I15" s="64">
        <v>0</v>
      </c>
      <c r="J15" s="65">
        <v>0</v>
      </c>
      <c r="K15" s="62">
        <v>0</v>
      </c>
      <c r="L15" s="82">
        <f>K15*100</f>
        <v>0</v>
      </c>
      <c r="M15" s="61">
        <f>L15*190</f>
        <v>0</v>
      </c>
    </row>
    <row r="16" spans="1:13" ht="15" customHeight="1">
      <c r="A16" s="567" t="s">
        <v>44</v>
      </c>
      <c r="B16" s="567"/>
      <c r="C16" s="568"/>
      <c r="D16" s="62">
        <v>2560</v>
      </c>
      <c r="E16" s="63">
        <f t="shared" si="0"/>
        <v>256000</v>
      </c>
      <c r="F16" s="58">
        <v>104</v>
      </c>
      <c r="G16" s="62">
        <v>7</v>
      </c>
      <c r="H16" s="82">
        <f>G16*100</f>
        <v>700</v>
      </c>
      <c r="I16" s="64">
        <v>364</v>
      </c>
      <c r="J16" s="65">
        <f>I16/H16</f>
        <v>0.52</v>
      </c>
      <c r="K16" s="62">
        <v>0</v>
      </c>
      <c r="L16" s="82">
        <f>K16*100</f>
        <v>0</v>
      </c>
      <c r="M16" s="61">
        <f>L16*190</f>
        <v>0</v>
      </c>
    </row>
    <row r="17" spans="1:13" ht="15" customHeight="1">
      <c r="A17" s="567" t="s">
        <v>47</v>
      </c>
      <c r="B17" s="567"/>
      <c r="C17" s="568"/>
      <c r="D17" s="62">
        <v>1050</v>
      </c>
      <c r="E17" s="63">
        <f t="shared" si="0"/>
        <v>105000</v>
      </c>
      <c r="F17" s="58">
        <v>104</v>
      </c>
      <c r="G17" s="62">
        <v>30</v>
      </c>
      <c r="H17" s="82">
        <f>G17*100</f>
        <v>3000</v>
      </c>
      <c r="I17" s="64">
        <v>4160</v>
      </c>
      <c r="J17" s="65">
        <f>I17/H17</f>
        <v>1.3866666666666667</v>
      </c>
      <c r="K17" s="62">
        <v>0</v>
      </c>
      <c r="L17" s="82">
        <f>K17*100</f>
        <v>0</v>
      </c>
      <c r="M17" s="61">
        <f>L17*190</f>
        <v>0</v>
      </c>
    </row>
    <row r="18" spans="1:13" ht="15" customHeight="1">
      <c r="A18" s="567" t="s">
        <v>72</v>
      </c>
      <c r="B18" s="567"/>
      <c r="C18" s="568"/>
      <c r="D18" s="62">
        <v>180</v>
      </c>
      <c r="E18" s="63">
        <f t="shared" si="0"/>
        <v>18000</v>
      </c>
      <c r="F18" s="58">
        <v>104</v>
      </c>
      <c r="G18" s="62">
        <v>0</v>
      </c>
      <c r="H18" s="82">
        <f>G18*100</f>
        <v>0</v>
      </c>
      <c r="I18" s="64">
        <v>0</v>
      </c>
      <c r="J18" s="65">
        <v>0</v>
      </c>
      <c r="K18" s="62">
        <v>0</v>
      </c>
      <c r="L18" s="82">
        <f>K18*100</f>
        <v>0</v>
      </c>
      <c r="M18" s="61">
        <f>L18*190</f>
        <v>0</v>
      </c>
    </row>
    <row r="19" spans="1:13" ht="15" customHeight="1">
      <c r="A19" s="571" t="s">
        <v>116</v>
      </c>
      <c r="B19" s="571"/>
      <c r="C19" s="572"/>
      <c r="D19" s="66">
        <v>4000</v>
      </c>
      <c r="E19" s="67">
        <f t="shared" si="0"/>
        <v>400000</v>
      </c>
      <c r="F19" s="68"/>
      <c r="G19" s="66">
        <f>SUM(G15:G18)</f>
        <v>37</v>
      </c>
      <c r="H19" s="69">
        <f>SUM(H15:H18)</f>
        <v>3700</v>
      </c>
      <c r="I19" s="70">
        <f>SUM(I15:I18)</f>
        <v>4524</v>
      </c>
      <c r="J19" s="71">
        <f>I19/H19</f>
        <v>1.2227027027027026</v>
      </c>
      <c r="K19" s="66">
        <f>SUM(K15:K18)</f>
        <v>0</v>
      </c>
      <c r="L19" s="69">
        <f>SUM(L15:L18)</f>
        <v>0</v>
      </c>
      <c r="M19" s="72">
        <f>SUM(M15:M18)</f>
        <v>0</v>
      </c>
    </row>
    <row r="20" spans="1:13" ht="15" customHeight="1">
      <c r="A20" s="83"/>
      <c r="B20" s="84"/>
      <c r="C20" s="85"/>
      <c r="D20" s="62"/>
      <c r="E20" s="63"/>
      <c r="F20" s="86"/>
      <c r="G20" s="62"/>
      <c r="H20" s="82"/>
      <c r="I20" s="64"/>
      <c r="J20" s="65"/>
      <c r="K20" s="62"/>
      <c r="L20" s="82"/>
      <c r="M20" s="65"/>
    </row>
    <row r="21" spans="1:13" ht="15" customHeight="1" thickBot="1">
      <c r="A21" s="569" t="s">
        <v>117</v>
      </c>
      <c r="B21" s="569"/>
      <c r="C21" s="570"/>
      <c r="D21" s="87">
        <v>15000</v>
      </c>
      <c r="E21" s="88">
        <f>D21*100</f>
        <v>1500000</v>
      </c>
      <c r="F21" s="89"/>
      <c r="G21" s="87">
        <f>(G19+G12)</f>
        <v>9357</v>
      </c>
      <c r="H21" s="90">
        <f>(H19+H12)</f>
        <v>935700</v>
      </c>
      <c r="I21" s="91">
        <f>(I19+I12)</f>
        <v>5513559</v>
      </c>
      <c r="J21" s="92">
        <f>I21/H21</f>
        <v>5.89244309073421</v>
      </c>
      <c r="K21" s="87">
        <f>(K19+K12)</f>
        <v>2723</v>
      </c>
      <c r="L21" s="90">
        <f>(L19+L12)</f>
        <v>272300</v>
      </c>
      <c r="M21" s="92">
        <f>(M19+M12)</f>
        <v>51737000</v>
      </c>
    </row>
    <row r="22" ht="12.75">
      <c r="A22" s="93" t="s">
        <v>118</v>
      </c>
    </row>
    <row r="23" ht="12.75">
      <c r="A23" s="95"/>
    </row>
    <row r="24" spans="1:13" ht="13.5" thickBot="1">
      <c r="A24" s="45"/>
      <c r="B24" s="46"/>
      <c r="C24" s="46"/>
      <c r="D24" s="46"/>
      <c r="E24" s="46"/>
      <c r="F24" s="46"/>
      <c r="G24" s="46"/>
      <c r="H24" s="46"/>
      <c r="I24" s="46"/>
      <c r="J24" s="47"/>
      <c r="K24" s="46"/>
      <c r="L24" s="46"/>
      <c r="M24" s="46"/>
    </row>
    <row r="25" spans="1:13" ht="13.5" customHeight="1" thickBot="1">
      <c r="A25" s="576" t="s">
        <v>119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8"/>
    </row>
    <row r="26" spans="1:13" ht="17.25" customHeight="1">
      <c r="A26" s="558" t="s">
        <v>101</v>
      </c>
      <c r="B26" s="559"/>
      <c r="C26" s="560"/>
      <c r="D26" s="565" t="s">
        <v>102</v>
      </c>
      <c r="E26" s="573"/>
      <c r="F26" s="96" t="s">
        <v>103</v>
      </c>
      <c r="G26" s="564" t="s">
        <v>104</v>
      </c>
      <c r="H26" s="565"/>
      <c r="I26" s="565"/>
      <c r="J26" s="566"/>
      <c r="K26" s="564" t="s">
        <v>105</v>
      </c>
      <c r="L26" s="565"/>
      <c r="M26" s="566"/>
    </row>
    <row r="27" spans="1:13" ht="21" customHeight="1">
      <c r="A27" s="561"/>
      <c r="B27" s="562"/>
      <c r="C27" s="563"/>
      <c r="D27" s="50" t="s">
        <v>106</v>
      </c>
      <c r="E27" s="51" t="s">
        <v>107</v>
      </c>
      <c r="F27" s="52" t="s">
        <v>108</v>
      </c>
      <c r="G27" s="97" t="s">
        <v>109</v>
      </c>
      <c r="H27" s="53" t="s">
        <v>107</v>
      </c>
      <c r="I27" s="98" t="s">
        <v>110</v>
      </c>
      <c r="J27" s="55" t="s">
        <v>111</v>
      </c>
      <c r="K27" s="50" t="s">
        <v>109</v>
      </c>
      <c r="L27" s="53" t="s">
        <v>107</v>
      </c>
      <c r="M27" s="55" t="s">
        <v>112</v>
      </c>
    </row>
    <row r="28" spans="1:13" ht="15" customHeight="1">
      <c r="A28" s="574" t="s">
        <v>46</v>
      </c>
      <c r="B28" s="574"/>
      <c r="C28" s="575"/>
      <c r="D28" s="56">
        <v>852</v>
      </c>
      <c r="E28" s="57">
        <f aca="true" t="shared" si="5" ref="E28:E42">D28*100</f>
        <v>85200</v>
      </c>
      <c r="F28" s="58">
        <v>195</v>
      </c>
      <c r="G28" s="56">
        <v>832</v>
      </c>
      <c r="H28" s="59">
        <f aca="true" t="shared" si="6" ref="H28:H34">G28*100</f>
        <v>83200</v>
      </c>
      <c r="I28" s="60">
        <v>237352</v>
      </c>
      <c r="J28" s="61">
        <f aca="true" t="shared" si="7" ref="J28:J35">I28/H28</f>
        <v>2.8527884615384616</v>
      </c>
      <c r="K28" s="56">
        <v>394</v>
      </c>
      <c r="L28" s="59">
        <f aca="true" t="shared" si="8" ref="L28:L34">K28*100</f>
        <v>39400</v>
      </c>
      <c r="M28" s="61">
        <f aca="true" t="shared" si="9" ref="M28:M34">L28*195</f>
        <v>7683000</v>
      </c>
    </row>
    <row r="29" spans="1:13" ht="15" customHeight="1">
      <c r="A29" s="567" t="s">
        <v>44</v>
      </c>
      <c r="B29" s="567"/>
      <c r="C29" s="568"/>
      <c r="D29" s="62">
        <v>740</v>
      </c>
      <c r="E29" s="63">
        <f t="shared" si="5"/>
        <v>74000</v>
      </c>
      <c r="F29" s="58">
        <v>195</v>
      </c>
      <c r="G29" s="62">
        <v>126</v>
      </c>
      <c r="H29" s="59">
        <f t="shared" si="6"/>
        <v>12600</v>
      </c>
      <c r="I29" s="64">
        <v>15210</v>
      </c>
      <c r="J29" s="65">
        <f t="shared" si="7"/>
        <v>1.207142857142857</v>
      </c>
      <c r="K29" s="62">
        <v>87</v>
      </c>
      <c r="L29" s="59">
        <f t="shared" si="8"/>
        <v>8700</v>
      </c>
      <c r="M29" s="61">
        <f t="shared" si="9"/>
        <v>1696500</v>
      </c>
    </row>
    <row r="30" spans="1:13" ht="15" customHeight="1">
      <c r="A30" s="567" t="s">
        <v>43</v>
      </c>
      <c r="B30" s="567"/>
      <c r="C30" s="568"/>
      <c r="D30" s="62">
        <v>6480</v>
      </c>
      <c r="E30" s="63">
        <f t="shared" si="5"/>
        <v>648000</v>
      </c>
      <c r="F30" s="58">
        <v>195</v>
      </c>
      <c r="G30" s="62">
        <v>5996</v>
      </c>
      <c r="H30" s="59">
        <f t="shared" si="6"/>
        <v>599600</v>
      </c>
      <c r="I30" s="64">
        <v>3453130</v>
      </c>
      <c r="J30" s="65">
        <f t="shared" si="7"/>
        <v>5.7590560373582385</v>
      </c>
      <c r="K30" s="62">
        <v>4725</v>
      </c>
      <c r="L30" s="59">
        <f t="shared" si="8"/>
        <v>472500</v>
      </c>
      <c r="M30" s="61">
        <f t="shared" si="9"/>
        <v>92137500</v>
      </c>
    </row>
    <row r="31" spans="1:13" ht="15" customHeight="1">
      <c r="A31" s="567" t="s">
        <v>71</v>
      </c>
      <c r="B31" s="567"/>
      <c r="C31" s="568"/>
      <c r="D31" s="62">
        <v>1080</v>
      </c>
      <c r="E31" s="63">
        <f t="shared" si="5"/>
        <v>108000</v>
      </c>
      <c r="F31" s="58">
        <v>195</v>
      </c>
      <c r="G31" s="62">
        <v>1027</v>
      </c>
      <c r="H31" s="59">
        <f t="shared" si="6"/>
        <v>102700</v>
      </c>
      <c r="I31" s="64">
        <v>424200</v>
      </c>
      <c r="J31" s="65">
        <f t="shared" si="7"/>
        <v>4.13047711781889</v>
      </c>
      <c r="K31" s="62">
        <v>759</v>
      </c>
      <c r="L31" s="59">
        <f t="shared" si="8"/>
        <v>75900</v>
      </c>
      <c r="M31" s="61">
        <f t="shared" si="9"/>
        <v>14800500</v>
      </c>
    </row>
    <row r="32" spans="1:13" ht="15" customHeight="1">
      <c r="A32" s="567" t="s">
        <v>45</v>
      </c>
      <c r="B32" s="567"/>
      <c r="C32" s="568"/>
      <c r="D32" s="62">
        <v>1320</v>
      </c>
      <c r="E32" s="63">
        <f t="shared" si="5"/>
        <v>132000</v>
      </c>
      <c r="F32" s="58">
        <v>195</v>
      </c>
      <c r="G32" s="62">
        <v>1289</v>
      </c>
      <c r="H32" s="59">
        <f t="shared" si="6"/>
        <v>128900</v>
      </c>
      <c r="I32" s="64">
        <v>752400</v>
      </c>
      <c r="J32" s="65">
        <f t="shared" si="7"/>
        <v>5.837083010085338</v>
      </c>
      <c r="K32" s="62">
        <v>1080</v>
      </c>
      <c r="L32" s="59">
        <f t="shared" si="8"/>
        <v>108000</v>
      </c>
      <c r="M32" s="61">
        <f t="shared" si="9"/>
        <v>21060000</v>
      </c>
    </row>
    <row r="33" spans="1:13" ht="15" customHeight="1">
      <c r="A33" s="567" t="s">
        <v>74</v>
      </c>
      <c r="B33" s="567"/>
      <c r="C33" s="568"/>
      <c r="D33" s="62">
        <v>108</v>
      </c>
      <c r="E33" s="63">
        <f t="shared" si="5"/>
        <v>10800</v>
      </c>
      <c r="F33" s="58">
        <v>195</v>
      </c>
      <c r="G33" s="62">
        <v>23</v>
      </c>
      <c r="H33" s="59">
        <f t="shared" si="6"/>
        <v>2300</v>
      </c>
      <c r="I33" s="64">
        <v>2340</v>
      </c>
      <c r="J33" s="65">
        <f t="shared" si="7"/>
        <v>1.017391304347826</v>
      </c>
      <c r="K33" s="62">
        <v>13</v>
      </c>
      <c r="L33" s="59">
        <f t="shared" si="8"/>
        <v>1300</v>
      </c>
      <c r="M33" s="61">
        <f t="shared" si="9"/>
        <v>253500</v>
      </c>
    </row>
    <row r="34" spans="1:13" ht="15" customHeight="1">
      <c r="A34" s="567" t="s">
        <v>113</v>
      </c>
      <c r="B34" s="567"/>
      <c r="C34" s="568"/>
      <c r="D34" s="62">
        <v>100</v>
      </c>
      <c r="E34" s="63">
        <f t="shared" si="5"/>
        <v>10000</v>
      </c>
      <c r="F34" s="58">
        <v>195</v>
      </c>
      <c r="G34" s="62">
        <v>100</v>
      </c>
      <c r="H34" s="59">
        <f t="shared" si="6"/>
        <v>10000</v>
      </c>
      <c r="I34" s="64">
        <v>10000</v>
      </c>
      <c r="J34" s="65">
        <f t="shared" si="7"/>
        <v>1</v>
      </c>
      <c r="K34" s="62">
        <v>28</v>
      </c>
      <c r="L34" s="59">
        <f t="shared" si="8"/>
        <v>2800</v>
      </c>
      <c r="M34" s="61">
        <f t="shared" si="9"/>
        <v>546000</v>
      </c>
    </row>
    <row r="35" spans="1:13" ht="15" customHeight="1">
      <c r="A35" s="571" t="s">
        <v>114</v>
      </c>
      <c r="B35" s="571"/>
      <c r="C35" s="572"/>
      <c r="D35" s="66">
        <v>10680</v>
      </c>
      <c r="E35" s="67">
        <f t="shared" si="5"/>
        <v>1068000</v>
      </c>
      <c r="F35" s="68"/>
      <c r="G35" s="66">
        <f>SUM(G28:G34)</f>
        <v>9393</v>
      </c>
      <c r="H35" s="66">
        <f>SUM(H28:H34)</f>
        <v>939300</v>
      </c>
      <c r="I35" s="70">
        <v>4894632</v>
      </c>
      <c r="J35" s="71">
        <f t="shared" si="7"/>
        <v>5.210935803257745</v>
      </c>
      <c r="K35" s="66">
        <f>SUM(K28:K34)</f>
        <v>7086</v>
      </c>
      <c r="L35" s="69">
        <f>SUM(L28:L34)</f>
        <v>708600</v>
      </c>
      <c r="M35" s="72">
        <f>SUM(M28:M34)</f>
        <v>138177000</v>
      </c>
    </row>
    <row r="36" spans="1:13" ht="15" customHeight="1">
      <c r="A36" s="567" t="s">
        <v>44</v>
      </c>
      <c r="B36" s="567"/>
      <c r="C36" s="568"/>
      <c r="D36" s="74">
        <v>320</v>
      </c>
      <c r="E36" s="63">
        <f t="shared" si="5"/>
        <v>32000</v>
      </c>
      <c r="F36" s="58">
        <v>117</v>
      </c>
      <c r="G36" s="74">
        <v>8</v>
      </c>
      <c r="H36" s="82">
        <v>800</v>
      </c>
      <c r="I36" s="76">
        <v>780</v>
      </c>
      <c r="J36" s="77">
        <v>0</v>
      </c>
      <c r="K36" s="74">
        <v>0</v>
      </c>
      <c r="L36" s="75">
        <v>0</v>
      </c>
      <c r="M36" s="61">
        <f>L36*190</f>
        <v>0</v>
      </c>
    </row>
    <row r="37" spans="1:13" ht="15" customHeight="1">
      <c r="A37" s="571" t="s">
        <v>115</v>
      </c>
      <c r="B37" s="571"/>
      <c r="C37" s="572"/>
      <c r="D37" s="79">
        <v>320</v>
      </c>
      <c r="E37" s="99">
        <f t="shared" si="5"/>
        <v>32000</v>
      </c>
      <c r="F37" s="68"/>
      <c r="G37" s="79">
        <v>8</v>
      </c>
      <c r="H37" s="80">
        <v>800</v>
      </c>
      <c r="I37" s="81">
        <v>780</v>
      </c>
      <c r="J37" s="71">
        <f>I37/H37</f>
        <v>0.975</v>
      </c>
      <c r="K37" s="79">
        <v>0</v>
      </c>
      <c r="L37" s="80">
        <v>0</v>
      </c>
      <c r="M37" s="71">
        <v>0</v>
      </c>
    </row>
    <row r="38" spans="1:13" ht="15" customHeight="1">
      <c r="A38" s="567" t="s">
        <v>46</v>
      </c>
      <c r="B38" s="567"/>
      <c r="C38" s="568"/>
      <c r="D38" s="62">
        <v>210</v>
      </c>
      <c r="E38" s="63">
        <f t="shared" si="5"/>
        <v>21000</v>
      </c>
      <c r="F38" s="58">
        <v>107</v>
      </c>
      <c r="G38" s="62">
        <v>0</v>
      </c>
      <c r="H38" s="82">
        <v>0</v>
      </c>
      <c r="I38" s="64">
        <v>0</v>
      </c>
      <c r="J38" s="65">
        <v>0</v>
      </c>
      <c r="K38" s="62">
        <v>0</v>
      </c>
      <c r="L38" s="82">
        <f>K38*100</f>
        <v>0</v>
      </c>
      <c r="M38" s="61">
        <f>L38*190</f>
        <v>0</v>
      </c>
    </row>
    <row r="39" spans="1:13" ht="15" customHeight="1">
      <c r="A39" s="567" t="s">
        <v>44</v>
      </c>
      <c r="B39" s="567"/>
      <c r="C39" s="568"/>
      <c r="D39" s="62">
        <v>2560</v>
      </c>
      <c r="E39" s="63">
        <f t="shared" si="5"/>
        <v>256000</v>
      </c>
      <c r="F39" s="58">
        <v>107</v>
      </c>
      <c r="G39" s="62">
        <v>91</v>
      </c>
      <c r="H39" s="82">
        <v>9100</v>
      </c>
      <c r="I39" s="64">
        <v>4868.5</v>
      </c>
      <c r="J39" s="65">
        <f>I39/H39</f>
        <v>0.535</v>
      </c>
      <c r="K39" s="62">
        <v>0</v>
      </c>
      <c r="L39" s="82">
        <f>K39*100</f>
        <v>0</v>
      </c>
      <c r="M39" s="61">
        <f>L39*190</f>
        <v>0</v>
      </c>
    </row>
    <row r="40" spans="1:13" ht="15" customHeight="1">
      <c r="A40" s="567" t="s">
        <v>47</v>
      </c>
      <c r="B40" s="567"/>
      <c r="C40" s="568"/>
      <c r="D40" s="62">
        <v>1050</v>
      </c>
      <c r="E40" s="63">
        <f t="shared" si="5"/>
        <v>105000</v>
      </c>
      <c r="F40" s="58">
        <v>107</v>
      </c>
      <c r="G40" s="62">
        <v>20</v>
      </c>
      <c r="H40" s="82">
        <v>2000</v>
      </c>
      <c r="I40" s="64">
        <v>1590</v>
      </c>
      <c r="J40" s="65">
        <f>I40/H40</f>
        <v>0.795</v>
      </c>
      <c r="K40" s="62">
        <v>0</v>
      </c>
      <c r="L40" s="82">
        <f>K40*100</f>
        <v>0</v>
      </c>
      <c r="M40" s="61">
        <f>L40*190</f>
        <v>0</v>
      </c>
    </row>
    <row r="41" spans="1:13" ht="15" customHeight="1">
      <c r="A41" s="567" t="s">
        <v>72</v>
      </c>
      <c r="B41" s="567"/>
      <c r="C41" s="568"/>
      <c r="D41" s="62">
        <v>180</v>
      </c>
      <c r="E41" s="63">
        <f t="shared" si="5"/>
        <v>18000</v>
      </c>
      <c r="F41" s="58">
        <v>107</v>
      </c>
      <c r="G41" s="62">
        <v>0</v>
      </c>
      <c r="H41" s="82">
        <v>0</v>
      </c>
      <c r="I41" s="64">
        <v>0</v>
      </c>
      <c r="J41" s="65">
        <v>0</v>
      </c>
      <c r="K41" s="62">
        <v>0</v>
      </c>
      <c r="L41" s="82">
        <f>K41*100</f>
        <v>0</v>
      </c>
      <c r="M41" s="61">
        <f>L41*190</f>
        <v>0</v>
      </c>
    </row>
    <row r="42" spans="1:13" ht="15" customHeight="1">
      <c r="A42" s="571" t="s">
        <v>116</v>
      </c>
      <c r="B42" s="571"/>
      <c r="C42" s="572"/>
      <c r="D42" s="66">
        <v>4000</v>
      </c>
      <c r="E42" s="67">
        <f t="shared" si="5"/>
        <v>400000</v>
      </c>
      <c r="F42" s="68"/>
      <c r="G42" s="66">
        <v>111</v>
      </c>
      <c r="H42" s="69">
        <v>11100</v>
      </c>
      <c r="I42" s="70">
        <v>6458.5</v>
      </c>
      <c r="J42" s="71">
        <f>I42/H42</f>
        <v>0.5818468468468468</v>
      </c>
      <c r="K42" s="66">
        <f>SUM(K38:K41)</f>
        <v>0</v>
      </c>
      <c r="L42" s="69">
        <f>SUM(L38:L41)</f>
        <v>0</v>
      </c>
      <c r="M42" s="72">
        <f>SUM(M38:M41)</f>
        <v>0</v>
      </c>
    </row>
    <row r="43" spans="1:13" ht="15" customHeight="1">
      <c r="A43" s="83"/>
      <c r="B43" s="84"/>
      <c r="C43" s="85"/>
      <c r="D43" s="62"/>
      <c r="E43" s="63"/>
      <c r="F43" s="86"/>
      <c r="G43" s="62"/>
      <c r="H43" s="82"/>
      <c r="I43" s="64"/>
      <c r="J43" s="65"/>
      <c r="K43" s="62"/>
      <c r="L43" s="82"/>
      <c r="M43" s="65"/>
    </row>
    <row r="44" spans="1:13" ht="15" customHeight="1" thickBot="1">
      <c r="A44" s="569" t="s">
        <v>117</v>
      </c>
      <c r="B44" s="569"/>
      <c r="C44" s="570"/>
      <c r="D44" s="87">
        <v>15000</v>
      </c>
      <c r="E44" s="88">
        <f>D44*100</f>
        <v>1500000</v>
      </c>
      <c r="F44" s="89"/>
      <c r="G44" s="87">
        <f>G42+G37+G35</f>
        <v>9512</v>
      </c>
      <c r="H44" s="90">
        <f>G44*100</f>
        <v>951200</v>
      </c>
      <c r="I44" s="91">
        <v>4901870.5</v>
      </c>
      <c r="J44" s="92">
        <f>I44/H44</f>
        <v>5.153354184188394</v>
      </c>
      <c r="K44" s="87">
        <f>(K42+K35)</f>
        <v>7086</v>
      </c>
      <c r="L44" s="90">
        <f>(L42+L35)</f>
        <v>708600</v>
      </c>
      <c r="M44" s="92">
        <f>(M42+M35)</f>
        <v>138177000</v>
      </c>
    </row>
    <row r="45" ht="12.75">
      <c r="A45" s="93" t="s">
        <v>118</v>
      </c>
    </row>
  </sheetData>
  <sheetProtection/>
  <mergeCells count="42">
    <mergeCell ref="A41:C41"/>
    <mergeCell ref="A44:C44"/>
    <mergeCell ref="A40:C40"/>
    <mergeCell ref="A30:C30"/>
    <mergeCell ref="A37:C37"/>
    <mergeCell ref="A38:C38"/>
    <mergeCell ref="A39:C39"/>
    <mergeCell ref="A32:C32"/>
    <mergeCell ref="A33:C33"/>
    <mergeCell ref="A34:C34"/>
    <mergeCell ref="A36:C36"/>
    <mergeCell ref="A42:C42"/>
    <mergeCell ref="A35:C35"/>
    <mergeCell ref="A31:C31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  <mergeCell ref="D3:E3"/>
    <mergeCell ref="G3:J3"/>
    <mergeCell ref="A5:C5"/>
    <mergeCell ref="A6:C6"/>
    <mergeCell ref="A7:C7"/>
    <mergeCell ref="A10:C10"/>
    <mergeCell ref="A8:C8"/>
    <mergeCell ref="A3:C4"/>
    <mergeCell ref="G26:J26"/>
    <mergeCell ref="A29:C29"/>
    <mergeCell ref="A26:C27"/>
    <mergeCell ref="K3:M3"/>
    <mergeCell ref="A21:C21"/>
    <mergeCell ref="A9:C9"/>
    <mergeCell ref="A12:C12"/>
    <mergeCell ref="A15:C15"/>
    <mergeCell ref="A17:C17"/>
    <mergeCell ref="D26:E26"/>
    <mergeCell ref="A28:C28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="90" zoomScaleNormal="90" zoomScalePageLayoutView="0" workbookViewId="0" topLeftCell="A1">
      <selection activeCell="T11" sqref="T11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8" width="11.28125" style="0" hidden="1" customWidth="1"/>
    <col min="9" max="19" width="11.28125" style="0" customWidth="1"/>
    <col min="20" max="20" width="16.28125" style="0" bestFit="1" customWidth="1"/>
  </cols>
  <sheetData>
    <row r="1" spans="1:7" ht="18.75" customHeight="1">
      <c r="A1" s="217" t="s">
        <v>76</v>
      </c>
      <c r="B1" s="115"/>
      <c r="C1" s="115"/>
      <c r="D1" s="115"/>
      <c r="E1" s="115"/>
      <c r="F1" s="115"/>
      <c r="G1" s="115"/>
    </row>
    <row r="2" spans="1:7" ht="18.75" customHeight="1">
      <c r="A2" s="217" t="s">
        <v>342</v>
      </c>
      <c r="B2" s="115"/>
      <c r="C2" s="115"/>
      <c r="D2" s="115"/>
      <c r="E2" s="115"/>
      <c r="F2" s="115"/>
      <c r="G2" s="115"/>
    </row>
    <row r="3" spans="1:7" ht="18.75" customHeight="1">
      <c r="A3" s="479" t="s">
        <v>348</v>
      </c>
      <c r="B3" s="115"/>
      <c r="C3" s="115"/>
      <c r="D3" s="115"/>
      <c r="E3" s="115"/>
      <c r="F3" s="115"/>
      <c r="G3" s="115"/>
    </row>
    <row r="4" spans="1:7" ht="24" customHeight="1">
      <c r="A4" s="115"/>
      <c r="B4" s="115"/>
      <c r="C4" s="115"/>
      <c r="D4" s="115"/>
      <c r="E4" s="115"/>
      <c r="F4" s="115"/>
      <c r="G4" s="115"/>
    </row>
    <row r="5" spans="1:20" ht="18.75" customHeight="1">
      <c r="A5" s="595" t="s">
        <v>140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</row>
    <row r="6" spans="1:20" ht="1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7.25" customHeight="1">
      <c r="A7" s="596" t="s">
        <v>306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</row>
    <row r="8" spans="1:20" ht="1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1:20" ht="17.25" customHeight="1">
      <c r="A9" s="599" t="s">
        <v>189</v>
      </c>
      <c r="B9" s="581">
        <v>1997</v>
      </c>
      <c r="C9" s="581">
        <v>1998</v>
      </c>
      <c r="D9" s="581">
        <v>1999</v>
      </c>
      <c r="E9" s="581">
        <v>2000</v>
      </c>
      <c r="F9" s="581">
        <v>2001</v>
      </c>
      <c r="G9" s="581">
        <v>2002</v>
      </c>
      <c r="H9" s="581">
        <v>2003</v>
      </c>
      <c r="I9" s="581">
        <v>2004</v>
      </c>
      <c r="J9" s="581">
        <v>2005</v>
      </c>
      <c r="K9" s="581">
        <v>2006</v>
      </c>
      <c r="L9" s="581">
        <v>2007</v>
      </c>
      <c r="M9" s="581">
        <v>2008</v>
      </c>
      <c r="N9" s="581">
        <v>2009</v>
      </c>
      <c r="O9" s="581">
        <v>2010</v>
      </c>
      <c r="P9" s="581">
        <v>2011</v>
      </c>
      <c r="Q9" s="581">
        <v>2012</v>
      </c>
      <c r="R9" s="581">
        <v>2013</v>
      </c>
      <c r="S9" s="591">
        <v>2014</v>
      </c>
      <c r="T9" s="591">
        <v>2015</v>
      </c>
    </row>
    <row r="10" spans="1:20" ht="16.5" customHeight="1">
      <c r="A10" s="600"/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92"/>
      <c r="T10" s="592"/>
    </row>
    <row r="11" spans="1:20" ht="21.75" customHeight="1">
      <c r="A11" s="154" t="s">
        <v>298</v>
      </c>
      <c r="B11" s="165">
        <v>18.86</v>
      </c>
      <c r="C11" s="165">
        <v>33.95</v>
      </c>
      <c r="D11" s="165">
        <v>27.17</v>
      </c>
      <c r="E11" s="165">
        <v>31.1</v>
      </c>
      <c r="F11" s="165">
        <v>31.3</v>
      </c>
      <c r="G11" s="165">
        <v>48.48</v>
      </c>
      <c r="H11" s="165">
        <v>28.82</v>
      </c>
      <c r="I11" s="485">
        <v>39.272</v>
      </c>
      <c r="J11" s="483">
        <v>32.944</v>
      </c>
      <c r="K11" s="485">
        <v>42.512</v>
      </c>
      <c r="L11" s="485">
        <v>36.07</v>
      </c>
      <c r="M11" s="485">
        <v>45.992</v>
      </c>
      <c r="N11" s="485">
        <v>39.47</v>
      </c>
      <c r="O11" s="485">
        <v>48.095</v>
      </c>
      <c r="P11" s="485">
        <v>43.484</v>
      </c>
      <c r="Q11" s="485">
        <v>50.826</v>
      </c>
      <c r="R11" s="485">
        <v>49.152</v>
      </c>
      <c r="S11" s="513">
        <v>45.341</v>
      </c>
      <c r="T11" s="513" t="s">
        <v>352</v>
      </c>
    </row>
    <row r="12" spans="1:20" ht="19.5" customHeight="1">
      <c r="A12" s="138" t="s">
        <v>164</v>
      </c>
      <c r="B12" s="157">
        <v>2.36</v>
      </c>
      <c r="C12" s="157">
        <v>2.36</v>
      </c>
      <c r="D12" s="157">
        <v>1.87</v>
      </c>
      <c r="E12" s="157">
        <v>1.98</v>
      </c>
      <c r="F12" s="157">
        <v>2.179</v>
      </c>
      <c r="G12" s="157">
        <v>2.31</v>
      </c>
      <c r="H12" s="157">
        <v>2.2</v>
      </c>
      <c r="I12" s="514">
        <v>2.21</v>
      </c>
      <c r="J12" s="515">
        <v>2.217</v>
      </c>
      <c r="K12" s="514">
        <v>2.152</v>
      </c>
      <c r="L12" s="514">
        <v>2.176</v>
      </c>
      <c r="M12" s="514">
        <v>2.169</v>
      </c>
      <c r="N12" s="514">
        <v>2.092</v>
      </c>
      <c r="O12" s="514">
        <v>2.076</v>
      </c>
      <c r="P12" s="514">
        <v>2.056</v>
      </c>
      <c r="Q12" s="514">
        <v>2.049</v>
      </c>
      <c r="R12" s="514">
        <v>2.016</v>
      </c>
      <c r="S12" s="514">
        <v>1.947</v>
      </c>
      <c r="T12" s="514">
        <v>1.942</v>
      </c>
    </row>
    <row r="13" spans="1:20" ht="19.5" customHeight="1">
      <c r="A13" s="138" t="s">
        <v>144</v>
      </c>
      <c r="B13" s="158">
        <v>7.99</v>
      </c>
      <c r="C13" s="158">
        <v>14.39</v>
      </c>
      <c r="D13" s="158">
        <v>14.53</v>
      </c>
      <c r="E13" s="158">
        <v>15.7</v>
      </c>
      <c r="F13" s="158">
        <v>14.36</v>
      </c>
      <c r="G13" s="158">
        <v>20.98</v>
      </c>
      <c r="H13" s="158">
        <v>13.09</v>
      </c>
      <c r="I13" s="516">
        <v>17.75</v>
      </c>
      <c r="J13" s="517">
        <v>14.86</v>
      </c>
      <c r="K13" s="516">
        <v>19.75</v>
      </c>
      <c r="L13" s="516">
        <v>16.57</v>
      </c>
      <c r="M13" s="518">
        <v>21.2</v>
      </c>
      <c r="N13" s="516">
        <v>18.86</v>
      </c>
      <c r="O13" s="516">
        <v>23.16</v>
      </c>
      <c r="P13" s="516">
        <v>21.15</v>
      </c>
      <c r="Q13" s="516">
        <v>24.8</v>
      </c>
      <c r="R13" s="516">
        <v>24.31</v>
      </c>
      <c r="S13" s="516">
        <v>23.3</v>
      </c>
      <c r="T13" s="516">
        <v>22.8</v>
      </c>
    </row>
    <row r="14" spans="1:20" ht="15" customHeight="1">
      <c r="A14" s="140"/>
      <c r="B14" s="148"/>
      <c r="C14" s="148"/>
      <c r="D14" s="148"/>
      <c r="E14" s="148"/>
      <c r="F14" s="148"/>
      <c r="G14" s="148"/>
      <c r="H14" s="148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</row>
    <row r="15" spans="1:20" ht="21.75" customHeight="1">
      <c r="A15" s="142" t="s">
        <v>356</v>
      </c>
      <c r="B15" s="218"/>
      <c r="C15" s="178"/>
      <c r="D15" s="178"/>
      <c r="E15" s="178"/>
      <c r="F15" s="178"/>
      <c r="G15" s="178"/>
      <c r="H15" s="178"/>
      <c r="I15" s="520"/>
      <c r="J15" s="521"/>
      <c r="K15" s="520"/>
      <c r="L15" s="520"/>
      <c r="M15" s="520"/>
      <c r="N15" s="520"/>
      <c r="O15" s="520"/>
      <c r="P15" s="520"/>
      <c r="Q15" s="520"/>
      <c r="R15" s="520"/>
      <c r="S15" s="522"/>
      <c r="T15" s="522"/>
    </row>
    <row r="16" spans="1:20" ht="19.5" customHeight="1">
      <c r="A16" s="144" t="s">
        <v>141</v>
      </c>
      <c r="B16" s="159">
        <v>16.742</v>
      </c>
      <c r="C16" s="159">
        <v>18.234</v>
      </c>
      <c r="D16" s="159">
        <v>23.445</v>
      </c>
      <c r="E16" s="159">
        <v>18.455</v>
      </c>
      <c r="F16" s="159">
        <v>23.727</v>
      </c>
      <c r="G16" s="159">
        <v>28.726</v>
      </c>
      <c r="H16" s="159">
        <v>25.969</v>
      </c>
      <c r="I16" s="523">
        <v>27.047</v>
      </c>
      <c r="J16" s="524">
        <v>26.431</v>
      </c>
      <c r="K16" s="523">
        <v>27.977</v>
      </c>
      <c r="L16" s="523">
        <v>28.398</v>
      </c>
      <c r="M16" s="523">
        <v>29.727</v>
      </c>
      <c r="N16" s="523">
        <v>30.481</v>
      </c>
      <c r="O16" s="523">
        <v>33.493</v>
      </c>
      <c r="P16" s="523">
        <v>33.61</v>
      </c>
      <c r="Q16" s="523">
        <v>28.735</v>
      </c>
      <c r="R16" s="523">
        <v>32.01</v>
      </c>
      <c r="S16" s="523">
        <v>36.735</v>
      </c>
      <c r="T16" s="523">
        <f>'Total Exp.sacas'!C11/1000000</f>
        <v>23.584505687666667</v>
      </c>
    </row>
    <row r="17" spans="1:20" ht="19.5" customHeight="1">
      <c r="A17" s="145" t="s">
        <v>145</v>
      </c>
      <c r="B17" s="160">
        <v>3.097</v>
      </c>
      <c r="C17" s="160">
        <v>2.58</v>
      </c>
      <c r="D17" s="160">
        <v>2.463</v>
      </c>
      <c r="E17" s="160">
        <v>1.784</v>
      </c>
      <c r="F17" s="160">
        <v>1.417</v>
      </c>
      <c r="G17" s="160">
        <v>1.384</v>
      </c>
      <c r="H17" s="160">
        <v>1.546</v>
      </c>
      <c r="I17" s="525">
        <v>2.057</v>
      </c>
      <c r="J17" s="526">
        <v>2.928</v>
      </c>
      <c r="K17" s="525">
        <v>3.363</v>
      </c>
      <c r="L17" s="525">
        <v>3.891</v>
      </c>
      <c r="M17" s="525">
        <v>4.762</v>
      </c>
      <c r="N17" s="525">
        <v>4.279</v>
      </c>
      <c r="O17" s="525">
        <v>5.764</v>
      </c>
      <c r="P17" s="525">
        <v>8.733</v>
      </c>
      <c r="Q17" s="525">
        <v>6.462</v>
      </c>
      <c r="R17" s="525">
        <v>5.275</v>
      </c>
      <c r="S17" s="525">
        <v>6.661</v>
      </c>
      <c r="T17" s="525">
        <f>'Total Exp.sacas'!B11/1000000</f>
        <v>4.10124897</v>
      </c>
    </row>
    <row r="18" spans="1:20" ht="19.5" customHeight="1">
      <c r="A18" s="138" t="s">
        <v>142</v>
      </c>
      <c r="B18" s="139">
        <v>185.02</v>
      </c>
      <c r="C18" s="139">
        <v>141.53</v>
      </c>
      <c r="D18" s="139">
        <v>105.08</v>
      </c>
      <c r="E18" s="139">
        <v>96.67</v>
      </c>
      <c r="F18" s="139">
        <v>59.72</v>
      </c>
      <c r="G18" s="139">
        <v>48.2</v>
      </c>
      <c r="H18" s="139">
        <v>59.55</v>
      </c>
      <c r="I18" s="527">
        <v>76.08</v>
      </c>
      <c r="J18" s="528">
        <v>110.8</v>
      </c>
      <c r="K18" s="527">
        <v>120.23</v>
      </c>
      <c r="L18" s="527">
        <v>137.03</v>
      </c>
      <c r="M18" s="527">
        <v>160.2</v>
      </c>
      <c r="N18" s="527">
        <v>140.38</v>
      </c>
      <c r="O18" s="527">
        <v>172.11</v>
      </c>
      <c r="P18" s="527">
        <v>259.83</v>
      </c>
      <c r="Q18" s="527">
        <v>224.9</v>
      </c>
      <c r="R18" s="527">
        <v>164.81</v>
      </c>
      <c r="S18" s="527">
        <v>181.35</v>
      </c>
      <c r="T18" s="527">
        <f>'Total Exp.sacas'!D11</f>
        <v>173.89590540134645</v>
      </c>
    </row>
    <row r="19" spans="1:20" ht="15" customHeight="1">
      <c r="A19" s="147"/>
      <c r="B19" s="148"/>
      <c r="C19" s="148"/>
      <c r="D19" s="148"/>
      <c r="E19" s="148"/>
      <c r="F19" s="148"/>
      <c r="G19" s="148"/>
      <c r="H19" s="148"/>
      <c r="I19" s="519"/>
      <c r="J19" s="529"/>
      <c r="K19" s="519"/>
      <c r="L19" s="519"/>
      <c r="M19" s="519"/>
      <c r="N19" s="519"/>
      <c r="O19" s="519"/>
      <c r="P19" s="519"/>
      <c r="Q19" s="519"/>
      <c r="R19" s="519"/>
      <c r="S19" s="519"/>
      <c r="T19" s="519"/>
    </row>
    <row r="20" spans="1:20" ht="21.75" customHeight="1">
      <c r="A20" s="150" t="s">
        <v>258</v>
      </c>
      <c r="B20" s="161">
        <v>11.5</v>
      </c>
      <c r="C20" s="161">
        <v>12.2</v>
      </c>
      <c r="D20" s="161">
        <v>12.7</v>
      </c>
      <c r="E20" s="161">
        <v>13.2</v>
      </c>
      <c r="F20" s="161">
        <v>13.64</v>
      </c>
      <c r="G20" s="161">
        <v>14</v>
      </c>
      <c r="H20" s="161">
        <v>13.7</v>
      </c>
      <c r="I20" s="530">
        <v>14.94</v>
      </c>
      <c r="J20" s="531">
        <v>15.54</v>
      </c>
      <c r="K20" s="530">
        <v>16.33</v>
      </c>
      <c r="L20" s="530">
        <v>17.12</v>
      </c>
      <c r="M20" s="530">
        <v>17.66</v>
      </c>
      <c r="N20" s="484">
        <v>18.389</v>
      </c>
      <c r="O20" s="484">
        <v>19.13</v>
      </c>
      <c r="P20" s="484">
        <v>19.72</v>
      </c>
      <c r="Q20" s="484">
        <v>20.33</v>
      </c>
      <c r="R20" s="484">
        <v>20.085</v>
      </c>
      <c r="S20" s="484">
        <v>20.333</v>
      </c>
      <c r="T20" s="484" t="s">
        <v>353</v>
      </c>
    </row>
    <row r="21" spans="1:20" ht="19.5" customHeight="1">
      <c r="A21" s="138" t="s">
        <v>191</v>
      </c>
      <c r="B21" s="158">
        <v>4.3</v>
      </c>
      <c r="C21" s="158">
        <v>4.51</v>
      </c>
      <c r="D21" s="158">
        <v>4.67</v>
      </c>
      <c r="E21" s="158">
        <v>4.76</v>
      </c>
      <c r="F21" s="158">
        <v>4.88</v>
      </c>
      <c r="G21" s="158">
        <v>4.83</v>
      </c>
      <c r="H21" s="158">
        <v>4.65</v>
      </c>
      <c r="I21" s="516">
        <v>5.01</v>
      </c>
      <c r="J21" s="517">
        <v>5.14</v>
      </c>
      <c r="K21" s="516">
        <v>5.34</v>
      </c>
      <c r="L21" s="516">
        <v>5.53</v>
      </c>
      <c r="M21" s="516">
        <v>5.64</v>
      </c>
      <c r="N21" s="516">
        <v>5.81</v>
      </c>
      <c r="O21" s="516">
        <v>6.02</v>
      </c>
      <c r="P21" s="516">
        <v>6.1</v>
      </c>
      <c r="Q21" s="516">
        <v>6.23</v>
      </c>
      <c r="R21" s="516">
        <v>6.09</v>
      </c>
      <c r="S21" s="516">
        <v>6.12</v>
      </c>
      <c r="T21" s="516">
        <v>6.2</v>
      </c>
    </row>
    <row r="22" spans="1:20" ht="15" customHeight="1">
      <c r="A22" s="137"/>
      <c r="B22" s="141"/>
      <c r="C22" s="141"/>
      <c r="D22" s="141"/>
      <c r="E22" s="141"/>
      <c r="F22" s="141"/>
      <c r="G22" s="141"/>
      <c r="H22" s="141"/>
      <c r="I22" s="532"/>
      <c r="J22" s="533"/>
      <c r="K22" s="532"/>
      <c r="L22" s="532"/>
      <c r="M22" s="532"/>
      <c r="N22" s="532"/>
      <c r="O22" s="532"/>
      <c r="P22" s="532"/>
      <c r="Q22" s="532"/>
      <c r="R22" s="532"/>
      <c r="S22" s="532"/>
      <c r="T22" s="532"/>
    </row>
    <row r="23" spans="1:20" ht="21.75" customHeight="1">
      <c r="A23" s="142" t="s">
        <v>263</v>
      </c>
      <c r="B23" s="163">
        <v>11.47</v>
      </c>
      <c r="C23" s="162">
        <v>9.41</v>
      </c>
      <c r="D23" s="162">
        <v>7.56</v>
      </c>
      <c r="E23" s="249">
        <v>6.08</v>
      </c>
      <c r="F23" s="249">
        <v>5.569</v>
      </c>
      <c r="G23" s="249">
        <v>5.376</v>
      </c>
      <c r="H23" s="249">
        <v>5.414</v>
      </c>
      <c r="I23" s="511">
        <v>13.25</v>
      </c>
      <c r="J23" s="512">
        <v>15.417</v>
      </c>
      <c r="K23" s="511">
        <v>11.855</v>
      </c>
      <c r="L23" s="511">
        <v>18.47</v>
      </c>
      <c r="M23" s="511">
        <v>13.202</v>
      </c>
      <c r="N23" s="511">
        <v>15.766</v>
      </c>
      <c r="O23" s="511">
        <v>11.098</v>
      </c>
      <c r="P23" s="511">
        <v>11.34</v>
      </c>
      <c r="Q23" s="511">
        <v>10.063</v>
      </c>
      <c r="R23" s="511">
        <v>15.591</v>
      </c>
      <c r="S23" s="511">
        <v>16.871</v>
      </c>
      <c r="T23" s="511">
        <v>15.94</v>
      </c>
    </row>
    <row r="24" spans="1:20" ht="15" customHeight="1">
      <c r="A24" s="137"/>
      <c r="B24" s="141"/>
      <c r="C24" s="141"/>
      <c r="D24" s="141"/>
      <c r="E24" s="141"/>
      <c r="F24" s="141"/>
      <c r="G24" s="141"/>
      <c r="H24" s="141"/>
      <c r="I24" s="532"/>
      <c r="J24" s="533"/>
      <c r="K24" s="532"/>
      <c r="L24" s="532"/>
      <c r="M24" s="532"/>
      <c r="N24" s="532"/>
      <c r="O24" s="532"/>
      <c r="P24" s="532"/>
      <c r="Q24" s="532"/>
      <c r="R24" s="532"/>
      <c r="S24" s="532"/>
      <c r="T24" s="532"/>
    </row>
    <row r="25" spans="1:20" ht="21.75" customHeight="1">
      <c r="A25" s="179" t="s">
        <v>161</v>
      </c>
      <c r="B25" s="143">
        <v>682</v>
      </c>
      <c r="C25" s="143">
        <v>596</v>
      </c>
      <c r="D25" s="143">
        <v>688</v>
      </c>
      <c r="E25" s="143">
        <v>746</v>
      </c>
      <c r="F25" s="143">
        <v>898</v>
      </c>
      <c r="G25" s="143">
        <v>824</v>
      </c>
      <c r="H25" s="151">
        <v>550</v>
      </c>
      <c r="I25" s="534">
        <v>1226</v>
      </c>
      <c r="J25" s="534">
        <v>1282</v>
      </c>
      <c r="K25" s="535">
        <v>1680</v>
      </c>
      <c r="L25" s="535">
        <v>2147</v>
      </c>
      <c r="M25" s="535">
        <v>2562</v>
      </c>
      <c r="N25" s="535">
        <v>2843</v>
      </c>
      <c r="O25" s="535">
        <v>2846</v>
      </c>
      <c r="P25" s="535">
        <v>2715</v>
      </c>
      <c r="Q25" s="535">
        <v>2894</v>
      </c>
      <c r="R25" s="535">
        <v>3357</v>
      </c>
      <c r="S25" s="535">
        <v>4008</v>
      </c>
      <c r="T25" s="535">
        <v>4325</v>
      </c>
    </row>
    <row r="26" spans="1:20" ht="19.5" customHeight="1">
      <c r="A26" s="138" t="s">
        <v>159</v>
      </c>
      <c r="B26" s="180">
        <v>412</v>
      </c>
      <c r="C26" s="180">
        <v>384</v>
      </c>
      <c r="D26" s="180">
        <v>496</v>
      </c>
      <c r="E26" s="180">
        <v>718</v>
      </c>
      <c r="F26" s="180">
        <v>855</v>
      </c>
      <c r="G26" s="180">
        <v>693</v>
      </c>
      <c r="H26" s="181">
        <v>524</v>
      </c>
      <c r="I26" s="536">
        <v>1201</v>
      </c>
      <c r="J26" s="536">
        <v>1249</v>
      </c>
      <c r="K26" s="537">
        <v>1579</v>
      </c>
      <c r="L26" s="537">
        <v>2026</v>
      </c>
      <c r="M26" s="537">
        <v>2442</v>
      </c>
      <c r="N26" s="537">
        <v>2673</v>
      </c>
      <c r="O26" s="537">
        <v>2673</v>
      </c>
      <c r="P26" s="537">
        <v>2540</v>
      </c>
      <c r="Q26" s="537">
        <v>2734</v>
      </c>
      <c r="R26" s="537">
        <v>3180</v>
      </c>
      <c r="S26" s="537">
        <v>3825</v>
      </c>
      <c r="T26" s="537">
        <v>4137</v>
      </c>
    </row>
    <row r="27" spans="1:20" s="153" customFormat="1" ht="19.5" customHeight="1">
      <c r="A27" s="152" t="s">
        <v>160</v>
      </c>
      <c r="B27" s="158">
        <v>1.5</v>
      </c>
      <c r="C27" s="158">
        <v>2</v>
      </c>
      <c r="D27" s="158">
        <v>4</v>
      </c>
      <c r="E27" s="158">
        <v>4</v>
      </c>
      <c r="F27" s="158">
        <v>8</v>
      </c>
      <c r="G27" s="158">
        <v>1.6</v>
      </c>
      <c r="H27" s="158">
        <v>3.49</v>
      </c>
      <c r="I27" s="516">
        <v>5</v>
      </c>
      <c r="J27" s="517">
        <v>8.4</v>
      </c>
      <c r="K27" s="516">
        <v>5.5</v>
      </c>
      <c r="L27" s="516">
        <v>13</v>
      </c>
      <c r="M27" s="516">
        <v>13</v>
      </c>
      <c r="N27" s="516">
        <v>15</v>
      </c>
      <c r="O27" s="516">
        <v>15</v>
      </c>
      <c r="P27" s="516">
        <v>14</v>
      </c>
      <c r="Q27" s="516">
        <v>8</v>
      </c>
      <c r="R27" s="516">
        <v>2.5</v>
      </c>
      <c r="S27" s="516">
        <v>4</v>
      </c>
      <c r="T27" s="516">
        <v>4.5</v>
      </c>
    </row>
    <row r="28" spans="1:20" ht="19.5" customHeight="1">
      <c r="A28" s="138" t="s">
        <v>251</v>
      </c>
      <c r="B28" s="158">
        <v>15.1</v>
      </c>
      <c r="C28" s="158">
        <v>15.3</v>
      </c>
      <c r="D28" s="158">
        <v>14</v>
      </c>
      <c r="E28" s="158">
        <v>16</v>
      </c>
      <c r="F28" s="158">
        <v>16</v>
      </c>
      <c r="G28" s="158">
        <v>5.1</v>
      </c>
      <c r="H28" s="158">
        <v>8</v>
      </c>
      <c r="I28" s="516">
        <v>8</v>
      </c>
      <c r="J28" s="517">
        <v>12</v>
      </c>
      <c r="K28" s="516">
        <v>7.5</v>
      </c>
      <c r="L28" s="516">
        <v>12</v>
      </c>
      <c r="M28" s="516">
        <v>12</v>
      </c>
      <c r="N28" s="516">
        <v>15.3</v>
      </c>
      <c r="O28" s="516">
        <v>15.3</v>
      </c>
      <c r="P28" s="516">
        <v>15</v>
      </c>
      <c r="Q28" s="516">
        <v>12</v>
      </c>
      <c r="R28" s="516">
        <v>0</v>
      </c>
      <c r="S28" s="516">
        <v>6.5</v>
      </c>
      <c r="T28" s="516">
        <v>5.6</v>
      </c>
    </row>
    <row r="29" spans="1:20" ht="15" customHeight="1">
      <c r="A29" s="259"/>
      <c r="B29" s="141"/>
      <c r="C29" s="141"/>
      <c r="D29" s="141"/>
      <c r="E29" s="141"/>
      <c r="F29" s="141"/>
      <c r="G29" s="141"/>
      <c r="H29" s="141"/>
      <c r="I29" s="532"/>
      <c r="J29" s="533"/>
      <c r="K29" s="532"/>
      <c r="L29" s="538"/>
      <c r="M29" s="538"/>
      <c r="N29" s="538"/>
      <c r="O29" s="538"/>
      <c r="P29" s="538"/>
      <c r="Q29" s="538"/>
      <c r="R29" s="538"/>
      <c r="S29" s="538"/>
      <c r="T29" s="538"/>
    </row>
    <row r="30" spans="1:20" ht="21.75" customHeight="1">
      <c r="A30" s="150" t="s">
        <v>231</v>
      </c>
      <c r="B30" s="583">
        <v>20.67</v>
      </c>
      <c r="C30" s="583">
        <v>22.74</v>
      </c>
      <c r="D30" s="583">
        <v>26.87</v>
      </c>
      <c r="E30" s="583">
        <v>20.28</v>
      </c>
      <c r="F30" s="583">
        <v>25.77</v>
      </c>
      <c r="G30" s="583">
        <v>32.04</v>
      </c>
      <c r="H30" s="583">
        <v>29.86</v>
      </c>
      <c r="I30" s="583">
        <v>29.27</v>
      </c>
      <c r="J30" s="583">
        <v>30.17</v>
      </c>
      <c r="K30" s="587">
        <v>30.37</v>
      </c>
      <c r="L30" s="587">
        <v>29.5</v>
      </c>
      <c r="M30" s="587">
        <v>30.46</v>
      </c>
      <c r="N30" s="587">
        <v>31.65</v>
      </c>
      <c r="O30" s="587">
        <v>34.56</v>
      </c>
      <c r="P30" s="587">
        <v>32.14</v>
      </c>
      <c r="Q30" s="587">
        <v>25.39</v>
      </c>
      <c r="R30" s="587">
        <v>28.82</v>
      </c>
      <c r="S30" s="587">
        <v>32.88</v>
      </c>
      <c r="T30" s="597" t="s">
        <v>354</v>
      </c>
    </row>
    <row r="31" spans="1:20" ht="21.75" customHeight="1">
      <c r="A31" s="154" t="s">
        <v>256</v>
      </c>
      <c r="B31" s="584"/>
      <c r="C31" s="584"/>
      <c r="D31" s="584"/>
      <c r="E31" s="584"/>
      <c r="F31" s="584"/>
      <c r="G31" s="584"/>
      <c r="H31" s="584"/>
      <c r="I31" s="584"/>
      <c r="J31" s="584"/>
      <c r="K31" s="588"/>
      <c r="L31" s="588"/>
      <c r="M31" s="588"/>
      <c r="N31" s="588"/>
      <c r="O31" s="588"/>
      <c r="P31" s="588"/>
      <c r="Q31" s="588"/>
      <c r="R31" s="588"/>
      <c r="S31" s="588"/>
      <c r="T31" s="598"/>
    </row>
    <row r="32" spans="1:20" ht="15" customHeight="1">
      <c r="A32" s="155"/>
      <c r="B32" s="146"/>
      <c r="C32" s="146"/>
      <c r="D32" s="146"/>
      <c r="E32" s="146"/>
      <c r="F32" s="146"/>
      <c r="G32" s="146"/>
      <c r="H32" s="146"/>
      <c r="I32" s="539"/>
      <c r="J32" s="540"/>
      <c r="K32" s="519"/>
      <c r="L32" s="532"/>
      <c r="M32" s="532"/>
      <c r="N32" s="532"/>
      <c r="O32" s="532"/>
      <c r="P32" s="532"/>
      <c r="Q32" s="532"/>
      <c r="R32" s="532"/>
      <c r="S32" s="532"/>
      <c r="T32" s="532"/>
    </row>
    <row r="33" spans="1:20" ht="21.75" customHeight="1">
      <c r="A33" s="150" t="s">
        <v>143</v>
      </c>
      <c r="B33" s="583">
        <v>13.14</v>
      </c>
      <c r="C33" s="583">
        <v>11.97</v>
      </c>
      <c r="D33" s="583">
        <v>11.92</v>
      </c>
      <c r="E33" s="583">
        <v>8.57</v>
      </c>
      <c r="F33" s="583">
        <v>5.86</v>
      </c>
      <c r="G33" s="583">
        <v>5.51</v>
      </c>
      <c r="H33" s="583">
        <v>4.99</v>
      </c>
      <c r="I33" s="583">
        <v>5.21</v>
      </c>
      <c r="J33" s="583">
        <v>6.64</v>
      </c>
      <c r="K33" s="587">
        <v>6.75</v>
      </c>
      <c r="L33" s="587">
        <v>6.6</v>
      </c>
      <c r="M33" s="587">
        <v>6.59</v>
      </c>
      <c r="N33" s="587">
        <v>6.61</v>
      </c>
      <c r="O33" s="587">
        <v>7.54</v>
      </c>
      <c r="P33" s="587">
        <v>9.23</v>
      </c>
      <c r="Q33" s="587">
        <v>6.74</v>
      </c>
      <c r="R33" s="587">
        <v>5.28</v>
      </c>
      <c r="S33" s="587">
        <v>6.89</v>
      </c>
      <c r="T33" s="587" t="s">
        <v>355</v>
      </c>
    </row>
    <row r="34" spans="1:20" ht="21.75" customHeight="1">
      <c r="A34" s="154" t="s">
        <v>257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8"/>
      <c r="L34" s="588"/>
      <c r="M34" s="588"/>
      <c r="N34" s="588"/>
      <c r="O34" s="588"/>
      <c r="P34" s="588"/>
      <c r="Q34" s="588"/>
      <c r="R34" s="588"/>
      <c r="S34" s="588"/>
      <c r="T34" s="588"/>
    </row>
    <row r="35" spans="1:20" ht="15" customHeight="1">
      <c r="A35" s="155"/>
      <c r="B35" s="148"/>
      <c r="C35" s="148"/>
      <c r="D35" s="148"/>
      <c r="E35" s="148"/>
      <c r="F35" s="148"/>
      <c r="G35" s="148"/>
      <c r="H35" s="148"/>
      <c r="I35" s="148"/>
      <c r="J35" s="149"/>
      <c r="K35" s="148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21.75" customHeight="1">
      <c r="A36" s="156" t="s">
        <v>158</v>
      </c>
      <c r="B36" s="585">
        <v>212.77</v>
      </c>
      <c r="C36" s="585">
        <v>164.03</v>
      </c>
      <c r="D36" s="585">
        <v>183.28</v>
      </c>
      <c r="E36" s="585">
        <v>163.81</v>
      </c>
      <c r="F36" s="585">
        <v>117.97</v>
      </c>
      <c r="G36" s="585">
        <v>129.88</v>
      </c>
      <c r="H36" s="585">
        <v>173.84</v>
      </c>
      <c r="I36" s="585">
        <v>217.27</v>
      </c>
      <c r="J36" s="585">
        <v>281.13</v>
      </c>
      <c r="K36" s="589">
        <v>250.33</v>
      </c>
      <c r="L36" s="593">
        <v>252.43</v>
      </c>
      <c r="M36" s="589">
        <v>260.37</v>
      </c>
      <c r="N36" s="589">
        <v>263.2</v>
      </c>
      <c r="O36" s="589">
        <v>310.91</v>
      </c>
      <c r="P36" s="589">
        <v>494.95</v>
      </c>
      <c r="Q36" s="589">
        <v>390.03</v>
      </c>
      <c r="R36" s="589">
        <v>288.93</v>
      </c>
      <c r="S36" s="589">
        <v>418.61</v>
      </c>
      <c r="T36" s="589" t="s">
        <v>369</v>
      </c>
    </row>
    <row r="37" spans="1:20" ht="21.75" customHeight="1" thickBot="1">
      <c r="A37" s="164" t="s">
        <v>255</v>
      </c>
      <c r="B37" s="586"/>
      <c r="C37" s="586"/>
      <c r="D37" s="586"/>
      <c r="E37" s="586"/>
      <c r="F37" s="586"/>
      <c r="G37" s="586"/>
      <c r="H37" s="586"/>
      <c r="I37" s="586"/>
      <c r="J37" s="586"/>
      <c r="K37" s="590"/>
      <c r="L37" s="594"/>
      <c r="M37" s="590"/>
      <c r="N37" s="590"/>
      <c r="O37" s="590"/>
      <c r="P37" s="590"/>
      <c r="Q37" s="590"/>
      <c r="R37" s="590"/>
      <c r="S37" s="590"/>
      <c r="T37" s="590"/>
    </row>
    <row r="38" ht="16.5" customHeight="1">
      <c r="A38" s="115" t="s">
        <v>148</v>
      </c>
    </row>
    <row r="39" ht="16.5" customHeight="1">
      <c r="A39" s="258" t="s">
        <v>329</v>
      </c>
    </row>
    <row r="40" ht="16.5" customHeight="1">
      <c r="A40" s="258" t="s">
        <v>367</v>
      </c>
    </row>
    <row r="41" ht="16.5" customHeight="1">
      <c r="A41" s="258" t="s">
        <v>299</v>
      </c>
    </row>
    <row r="42" ht="16.5" customHeight="1">
      <c r="A42" s="258" t="s">
        <v>368</v>
      </c>
    </row>
  </sheetData>
  <sheetProtection/>
  <mergeCells count="79">
    <mergeCell ref="E9:E10"/>
    <mergeCell ref="I9:I10"/>
    <mergeCell ref="T33:T34"/>
    <mergeCell ref="T36:T37"/>
    <mergeCell ref="A5:T5"/>
    <mergeCell ref="A7:T7"/>
    <mergeCell ref="T9:T10"/>
    <mergeCell ref="T30:T31"/>
    <mergeCell ref="A9:A10"/>
    <mergeCell ref="L9:L10"/>
    <mergeCell ref="K9:K10"/>
    <mergeCell ref="G9:G10"/>
    <mergeCell ref="F9:F10"/>
    <mergeCell ref="H30:H31"/>
    <mergeCell ref="R9:R10"/>
    <mergeCell ref="R30:R31"/>
    <mergeCell ref="K30:K31"/>
    <mergeCell ref="L30:L31"/>
    <mergeCell ref="K33:K34"/>
    <mergeCell ref="L33:L34"/>
    <mergeCell ref="K36:K37"/>
    <mergeCell ref="L36:L37"/>
    <mergeCell ref="S36:S37"/>
    <mergeCell ref="S9:S10"/>
    <mergeCell ref="S30:S31"/>
    <mergeCell ref="S33:S34"/>
    <mergeCell ref="R36:R37"/>
    <mergeCell ref="Q36:Q37"/>
    <mergeCell ref="O33:O34"/>
    <mergeCell ref="O36:O37"/>
    <mergeCell ref="N33:N34"/>
    <mergeCell ref="M36:M37"/>
    <mergeCell ref="P33:P34"/>
    <mergeCell ref="P36:P37"/>
    <mergeCell ref="N36:N37"/>
    <mergeCell ref="M33:M34"/>
    <mergeCell ref="Q33:Q34"/>
    <mergeCell ref="H9:H10"/>
    <mergeCell ref="F30:F31"/>
    <mergeCell ref="G30:G31"/>
    <mergeCell ref="H33:H34"/>
    <mergeCell ref="R33:R34"/>
    <mergeCell ref="M9:M10"/>
    <mergeCell ref="M30:M31"/>
    <mergeCell ref="Q9:Q10"/>
    <mergeCell ref="Q30:Q31"/>
    <mergeCell ref="P9:P10"/>
    <mergeCell ref="P30:P31"/>
    <mergeCell ref="N9:N10"/>
    <mergeCell ref="N30:N31"/>
    <mergeCell ref="O9:O10"/>
    <mergeCell ref="O30:O31"/>
    <mergeCell ref="J9:J10"/>
    <mergeCell ref="F36:F37"/>
    <mergeCell ref="G36:G37"/>
    <mergeCell ref="B36:B37"/>
    <mergeCell ref="C36:C37"/>
    <mergeCell ref="D36:D37"/>
    <mergeCell ref="E36:E37"/>
    <mergeCell ref="B33:B34"/>
    <mergeCell ref="C33:C34"/>
    <mergeCell ref="D33:D34"/>
    <mergeCell ref="E33:E34"/>
    <mergeCell ref="J30:J31"/>
    <mergeCell ref="F33:F34"/>
    <mergeCell ref="E30:E31"/>
    <mergeCell ref="I30:I31"/>
    <mergeCell ref="G33:G34"/>
    <mergeCell ref="H36:H37"/>
    <mergeCell ref="I36:I37"/>
    <mergeCell ref="J36:J37"/>
    <mergeCell ref="I33:I34"/>
    <mergeCell ref="J33:J34"/>
    <mergeCell ref="B9:B10"/>
    <mergeCell ref="C9:C10"/>
    <mergeCell ref="B30:B31"/>
    <mergeCell ref="C30:C31"/>
    <mergeCell ref="D30:D31"/>
    <mergeCell ref="D9:D10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2.7109375" style="264" customWidth="1"/>
    <col min="2" max="8" width="11.7109375" style="264" customWidth="1"/>
    <col min="9" max="16384" width="9.140625" style="264" customWidth="1"/>
  </cols>
  <sheetData>
    <row r="1" spans="1:8" ht="15" customHeight="1">
      <c r="A1" s="603" t="s">
        <v>76</v>
      </c>
      <c r="B1" s="603"/>
      <c r="C1" s="603"/>
      <c r="D1" s="603"/>
      <c r="E1" s="603"/>
      <c r="F1" s="603"/>
      <c r="G1" s="603"/>
      <c r="H1" s="603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604" t="s">
        <v>250</v>
      </c>
      <c r="B3" s="604"/>
      <c r="C3" s="604"/>
      <c r="D3" s="604"/>
      <c r="E3" s="604"/>
      <c r="F3" s="604"/>
      <c r="G3" s="604"/>
      <c r="H3" s="604"/>
    </row>
    <row r="4" ht="15" customHeight="1"/>
    <row r="5" spans="1:8" ht="15" customHeight="1">
      <c r="A5" s="605" t="s">
        <v>241</v>
      </c>
      <c r="B5" s="605"/>
      <c r="C5" s="605"/>
      <c r="D5" s="605"/>
      <c r="E5" s="605"/>
      <c r="F5" s="605"/>
      <c r="G5" s="605"/>
      <c r="H5" s="605"/>
    </row>
    <row r="6" spans="1:8" ht="15" customHeight="1">
      <c r="A6" s="265"/>
      <c r="B6" s="265"/>
      <c r="C6" s="265"/>
      <c r="D6" s="265"/>
      <c r="E6" s="265"/>
      <c r="F6" s="265"/>
      <c r="G6" s="265"/>
      <c r="H6" s="265"/>
    </row>
    <row r="7" spans="1:8" ht="15" customHeight="1">
      <c r="A7" s="605" t="s">
        <v>121</v>
      </c>
      <c r="B7" s="605"/>
      <c r="C7" s="605"/>
      <c r="D7" s="605"/>
      <c r="E7" s="605"/>
      <c r="F7" s="605"/>
      <c r="G7" s="605"/>
      <c r="H7" s="605"/>
    </row>
    <row r="8" ht="15" customHeight="1"/>
    <row r="9" spans="1:8" ht="19.5" customHeight="1">
      <c r="A9" s="601" t="s">
        <v>242</v>
      </c>
      <c r="B9" s="606" t="s">
        <v>243</v>
      </c>
      <c r="C9" s="607"/>
      <c r="D9" s="608"/>
      <c r="E9" s="606" t="s">
        <v>249</v>
      </c>
      <c r="F9" s="607"/>
      <c r="G9" s="608"/>
      <c r="H9" s="609" t="s">
        <v>244</v>
      </c>
    </row>
    <row r="10" spans="1:8" ht="19.5" customHeight="1">
      <c r="A10" s="602"/>
      <c r="B10" s="405" t="s">
        <v>23</v>
      </c>
      <c r="C10" s="405" t="s">
        <v>26</v>
      </c>
      <c r="D10" s="405" t="s">
        <v>245</v>
      </c>
      <c r="E10" s="405" t="s">
        <v>246</v>
      </c>
      <c r="F10" s="405" t="s">
        <v>247</v>
      </c>
      <c r="G10" s="405" t="s">
        <v>245</v>
      </c>
      <c r="H10" s="610"/>
    </row>
    <row r="11" spans="1:8" ht="19.5" customHeight="1">
      <c r="A11" s="403">
        <v>2004</v>
      </c>
      <c r="B11" s="266">
        <v>7723</v>
      </c>
      <c r="C11" s="266">
        <v>783</v>
      </c>
      <c r="D11" s="266">
        <f aca="true" t="shared" si="0" ref="D11:D20">SUM(B11:C11)</f>
        <v>8506</v>
      </c>
      <c r="E11" s="266">
        <v>4290</v>
      </c>
      <c r="F11" s="266">
        <v>454</v>
      </c>
      <c r="G11" s="266">
        <f aca="true" t="shared" si="1" ref="G11:G20">SUM(E11:F11)</f>
        <v>4744</v>
      </c>
      <c r="H11" s="278">
        <f aca="true" t="shared" si="2" ref="H11:H20">D11+G11</f>
        <v>13250</v>
      </c>
    </row>
    <row r="12" spans="1:8" ht="19.5" customHeight="1">
      <c r="A12" s="404">
        <v>2005</v>
      </c>
      <c r="B12" s="266">
        <v>10872</v>
      </c>
      <c r="C12" s="266">
        <v>1172</v>
      </c>
      <c r="D12" s="266">
        <f t="shared" si="0"/>
        <v>12044</v>
      </c>
      <c r="E12" s="266">
        <v>3191</v>
      </c>
      <c r="F12" s="266">
        <v>182</v>
      </c>
      <c r="G12" s="266">
        <f t="shared" si="1"/>
        <v>3373</v>
      </c>
      <c r="H12" s="278">
        <f t="shared" si="2"/>
        <v>15417</v>
      </c>
    </row>
    <row r="13" spans="1:8" ht="19.5" customHeight="1">
      <c r="A13" s="404">
        <v>2006</v>
      </c>
      <c r="B13" s="266">
        <f>9278</f>
        <v>9278</v>
      </c>
      <c r="C13" s="266">
        <v>446</v>
      </c>
      <c r="D13" s="266">
        <f t="shared" si="0"/>
        <v>9724</v>
      </c>
      <c r="E13" s="266">
        <v>1949</v>
      </c>
      <c r="F13" s="266">
        <v>182</v>
      </c>
      <c r="G13" s="266">
        <f t="shared" si="1"/>
        <v>2131</v>
      </c>
      <c r="H13" s="278">
        <f t="shared" si="2"/>
        <v>11855</v>
      </c>
    </row>
    <row r="14" spans="1:8" ht="19.5" customHeight="1">
      <c r="A14" s="404">
        <v>2007</v>
      </c>
      <c r="B14" s="266">
        <f>16781</f>
        <v>16781</v>
      </c>
      <c r="C14" s="266">
        <v>803</v>
      </c>
      <c r="D14" s="266">
        <f t="shared" si="0"/>
        <v>17584</v>
      </c>
      <c r="E14" s="266">
        <v>704</v>
      </c>
      <c r="F14" s="266">
        <v>182</v>
      </c>
      <c r="G14" s="266">
        <f t="shared" si="1"/>
        <v>886</v>
      </c>
      <c r="H14" s="278">
        <f t="shared" si="2"/>
        <v>18470</v>
      </c>
    </row>
    <row r="15" spans="1:8" ht="19.5" customHeight="1">
      <c r="A15" s="404">
        <v>2008</v>
      </c>
      <c r="B15" s="266">
        <v>11490</v>
      </c>
      <c r="C15" s="266">
        <v>1013</v>
      </c>
      <c r="D15" s="266">
        <f t="shared" si="0"/>
        <v>12503</v>
      </c>
      <c r="E15" s="266">
        <v>521</v>
      </c>
      <c r="F15" s="266">
        <v>178</v>
      </c>
      <c r="G15" s="266">
        <f t="shared" si="1"/>
        <v>699</v>
      </c>
      <c r="H15" s="278">
        <f t="shared" si="2"/>
        <v>13202</v>
      </c>
    </row>
    <row r="16" spans="1:8" ht="19.5" customHeight="1">
      <c r="A16" s="404">
        <v>2009</v>
      </c>
      <c r="B16" s="266">
        <v>14005</v>
      </c>
      <c r="C16" s="266">
        <v>651</v>
      </c>
      <c r="D16" s="266">
        <f t="shared" si="0"/>
        <v>14656</v>
      </c>
      <c r="E16" s="266">
        <v>494</v>
      </c>
      <c r="F16" s="266">
        <v>616</v>
      </c>
      <c r="G16" s="266">
        <f t="shared" si="1"/>
        <v>1110</v>
      </c>
      <c r="H16" s="278">
        <f t="shared" si="2"/>
        <v>15766</v>
      </c>
    </row>
    <row r="17" spans="1:8" ht="19.5" customHeight="1">
      <c r="A17" s="404">
        <v>2010</v>
      </c>
      <c r="B17" s="266">
        <v>8245</v>
      </c>
      <c r="C17" s="266">
        <v>699</v>
      </c>
      <c r="D17" s="266">
        <f t="shared" si="0"/>
        <v>8944</v>
      </c>
      <c r="E17" s="266">
        <v>506</v>
      </c>
      <c r="F17" s="266">
        <v>1648</v>
      </c>
      <c r="G17" s="266">
        <f t="shared" si="1"/>
        <v>2154</v>
      </c>
      <c r="H17" s="278">
        <f t="shared" si="2"/>
        <v>11098</v>
      </c>
    </row>
    <row r="18" spans="1:8" ht="19.5" customHeight="1">
      <c r="A18" s="404">
        <v>2011</v>
      </c>
      <c r="B18" s="266">
        <v>8233</v>
      </c>
      <c r="C18" s="266">
        <v>1005</v>
      </c>
      <c r="D18" s="266">
        <f t="shared" si="0"/>
        <v>9238</v>
      </c>
      <c r="E18" s="266">
        <v>487</v>
      </c>
      <c r="F18" s="266">
        <v>1615</v>
      </c>
      <c r="G18" s="266">
        <f t="shared" si="1"/>
        <v>2102</v>
      </c>
      <c r="H18" s="278">
        <f t="shared" si="2"/>
        <v>11340</v>
      </c>
    </row>
    <row r="19" spans="1:8" ht="19.5" customHeight="1">
      <c r="A19" s="404">
        <v>2012</v>
      </c>
      <c r="B19" s="266">
        <v>7722</v>
      </c>
      <c r="C19" s="266">
        <v>693</v>
      </c>
      <c r="D19" s="266">
        <f t="shared" si="0"/>
        <v>8415</v>
      </c>
      <c r="E19" s="266">
        <v>33.419</v>
      </c>
      <c r="F19" s="266">
        <v>1614.56</v>
      </c>
      <c r="G19" s="266">
        <f t="shared" si="1"/>
        <v>1647.979</v>
      </c>
      <c r="H19" s="278">
        <f t="shared" si="2"/>
        <v>10062.979</v>
      </c>
    </row>
    <row r="20" spans="1:8" ht="19.5" customHeight="1">
      <c r="A20" s="404">
        <v>2013</v>
      </c>
      <c r="B20" s="266">
        <v>12366</v>
      </c>
      <c r="C20" s="266">
        <v>1572</v>
      </c>
      <c r="D20" s="266">
        <f t="shared" si="0"/>
        <v>13938</v>
      </c>
      <c r="E20" s="266">
        <v>33.419</v>
      </c>
      <c r="F20" s="271">
        <v>1619.6645166666665</v>
      </c>
      <c r="G20" s="266">
        <f t="shared" si="1"/>
        <v>1653.0835166666666</v>
      </c>
      <c r="H20" s="278">
        <f t="shared" si="2"/>
        <v>15591.083516666666</v>
      </c>
    </row>
    <row r="21" spans="1:8" ht="19.5" customHeight="1">
      <c r="A21" s="404">
        <v>2014</v>
      </c>
      <c r="B21" s="271">
        <v>14163</v>
      </c>
      <c r="C21" s="271">
        <v>1055</v>
      </c>
      <c r="D21" s="266">
        <f>SUM(B21:C21)</f>
        <v>15218</v>
      </c>
      <c r="E21" s="266">
        <v>33.419</v>
      </c>
      <c r="F21" s="271">
        <v>1619.6645166666665</v>
      </c>
      <c r="G21" s="266">
        <f>SUM(E21:F21)</f>
        <v>1653.0835166666666</v>
      </c>
      <c r="H21" s="278">
        <f>D21+G21</f>
        <v>16871.083516666666</v>
      </c>
    </row>
    <row r="22" spans="1:8" ht="19.5" customHeight="1">
      <c r="A22" s="404">
        <v>2015</v>
      </c>
      <c r="B22" s="271">
        <v>12983</v>
      </c>
      <c r="C22" s="271">
        <v>1386.03</v>
      </c>
      <c r="D22" s="266">
        <f>SUM(B22:C22)</f>
        <v>14369.03</v>
      </c>
      <c r="E22" s="266">
        <v>0</v>
      </c>
      <c r="F22" s="271">
        <v>1573.80851</v>
      </c>
      <c r="G22" s="266">
        <f>SUM(E22:F22)</f>
        <v>1573.80851</v>
      </c>
      <c r="H22" s="278">
        <f>D22+G22</f>
        <v>15942.838510000001</v>
      </c>
    </row>
    <row r="23" spans="1:4" ht="19.5" customHeight="1">
      <c r="A23" s="267" t="s">
        <v>248</v>
      </c>
      <c r="C23" s="268"/>
      <c r="D23" s="268"/>
    </row>
    <row r="24" spans="1:4" ht="19.5" customHeight="1">
      <c r="A24" s="267" t="s">
        <v>358</v>
      </c>
      <c r="C24" s="268"/>
      <c r="D24" s="268"/>
    </row>
    <row r="25" ht="19.5" customHeight="1">
      <c r="A25" s="269" t="s">
        <v>357</v>
      </c>
    </row>
    <row r="26" ht="12.75">
      <c r="A26" s="270"/>
    </row>
    <row r="27" ht="12.75">
      <c r="A27" s="270"/>
    </row>
    <row r="28" ht="18.75" customHeight="1"/>
    <row r="29" ht="12" customHeight="1"/>
    <row r="30" ht="15" customHeight="1"/>
    <row r="32" ht="19.5" customHeight="1"/>
    <row r="33" ht="18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4.2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E17:E20 E11 D11:D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611" t="s">
        <v>300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ht="15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36"/>
      <c r="B3" s="221"/>
      <c r="C3" s="221"/>
      <c r="D3" s="221"/>
      <c r="E3" s="221"/>
      <c r="F3" s="221"/>
      <c r="G3" s="221"/>
      <c r="H3" s="36"/>
      <c r="I3" s="36"/>
      <c r="J3" s="225"/>
      <c r="K3" s="222" t="s">
        <v>40</v>
      </c>
    </row>
    <row r="4" spans="1:11" ht="12.75">
      <c r="A4" s="408"/>
      <c r="B4" s="409">
        <v>2014</v>
      </c>
      <c r="C4" s="410">
        <v>2015</v>
      </c>
      <c r="D4" s="411">
        <v>2014</v>
      </c>
      <c r="E4" s="410">
        <v>2015</v>
      </c>
      <c r="F4" s="409">
        <v>2014</v>
      </c>
      <c r="G4" s="410">
        <v>2015</v>
      </c>
      <c r="H4" s="409">
        <v>2014</v>
      </c>
      <c r="I4" s="410">
        <v>2015</v>
      </c>
      <c r="J4" s="409">
        <v>2014</v>
      </c>
      <c r="K4" s="410">
        <v>2015</v>
      </c>
    </row>
    <row r="5" spans="1:11" ht="12.75">
      <c r="A5" s="412" t="s">
        <v>36</v>
      </c>
      <c r="B5" s="618" t="s">
        <v>41</v>
      </c>
      <c r="C5" s="619"/>
      <c r="D5" s="413" t="s">
        <v>128</v>
      </c>
      <c r="E5" s="413"/>
      <c r="F5" s="414" t="s">
        <v>25</v>
      </c>
      <c r="G5" s="415"/>
      <c r="H5" s="416" t="s">
        <v>23</v>
      </c>
      <c r="I5" s="416"/>
      <c r="J5" s="412" t="s">
        <v>83</v>
      </c>
      <c r="K5" s="417"/>
    </row>
    <row r="6" spans="1:11" ht="12.75">
      <c r="A6" s="418"/>
      <c r="B6" s="618" t="s">
        <v>37</v>
      </c>
      <c r="C6" s="619"/>
      <c r="D6" s="617" t="s">
        <v>129</v>
      </c>
      <c r="E6" s="617"/>
      <c r="F6" s="412" t="s">
        <v>239</v>
      </c>
      <c r="G6" s="417"/>
      <c r="H6" s="416" t="s">
        <v>240</v>
      </c>
      <c r="I6" s="416"/>
      <c r="J6" s="412" t="s">
        <v>126</v>
      </c>
      <c r="K6" s="417"/>
    </row>
    <row r="7" spans="1:11" ht="12.75">
      <c r="A7" s="419"/>
      <c r="B7" s="612" t="s">
        <v>127</v>
      </c>
      <c r="C7" s="613"/>
      <c r="D7" s="616" t="s">
        <v>130</v>
      </c>
      <c r="E7" s="616"/>
      <c r="F7" s="614" t="s">
        <v>93</v>
      </c>
      <c r="G7" s="615"/>
      <c r="H7" s="616" t="s">
        <v>94</v>
      </c>
      <c r="I7" s="616"/>
      <c r="J7" s="612" t="s">
        <v>94</v>
      </c>
      <c r="K7" s="613"/>
    </row>
    <row r="8" spans="1:11" ht="12.75">
      <c r="A8" s="420" t="s">
        <v>24</v>
      </c>
      <c r="B8" s="421">
        <v>289.44</v>
      </c>
      <c r="C8" s="421">
        <v>465.9209523809524</v>
      </c>
      <c r="D8" s="421">
        <v>226.82</v>
      </c>
      <c r="E8" s="421">
        <v>283.2861904761904</v>
      </c>
      <c r="F8" s="421">
        <v>244.45</v>
      </c>
      <c r="G8" s="421">
        <v>340</v>
      </c>
      <c r="H8" s="421">
        <v>214.09</v>
      </c>
      <c r="I8" s="421">
        <v>273.8095238095238</v>
      </c>
      <c r="J8" s="421">
        <v>231.82</v>
      </c>
      <c r="K8" s="421">
        <v>280.95238095238096</v>
      </c>
    </row>
    <row r="9" spans="1:11" ht="12.75">
      <c r="A9" s="420" t="s">
        <v>27</v>
      </c>
      <c r="B9" s="421">
        <v>366.32</v>
      </c>
      <c r="C9" s="421">
        <v>459.9933333333334</v>
      </c>
      <c r="D9" s="421">
        <v>243.48</v>
      </c>
      <c r="E9" s="421">
        <v>299.5805555555555</v>
      </c>
      <c r="F9" s="421">
        <v>268.5</v>
      </c>
      <c r="G9" s="421">
        <v>328.3333333333333</v>
      </c>
      <c r="H9" s="421">
        <v>236.25</v>
      </c>
      <c r="I9" s="421">
        <v>278.8888888888889</v>
      </c>
      <c r="J9" s="421">
        <v>243</v>
      </c>
      <c r="K9" s="421">
        <v>285</v>
      </c>
    </row>
    <row r="10" spans="1:11" ht="12.75">
      <c r="A10" s="420" t="s">
        <v>38</v>
      </c>
      <c r="B10" s="421">
        <v>437.24</v>
      </c>
      <c r="C10" s="421">
        <v>447.1</v>
      </c>
      <c r="D10" s="421">
        <v>263.25</v>
      </c>
      <c r="E10" s="421">
        <v>303.44</v>
      </c>
      <c r="F10" s="421">
        <v>332.63</v>
      </c>
      <c r="G10" s="421">
        <v>330</v>
      </c>
      <c r="H10" s="421">
        <v>288.68</v>
      </c>
      <c r="I10" s="421">
        <v>290</v>
      </c>
      <c r="J10" s="421">
        <v>282.37</v>
      </c>
      <c r="K10" s="421">
        <v>280</v>
      </c>
    </row>
    <row r="11" spans="1:11" ht="12.75">
      <c r="A11" s="420" t="s">
        <v>28</v>
      </c>
      <c r="B11" s="421">
        <v>449.45</v>
      </c>
      <c r="C11" s="421">
        <v>445.69</v>
      </c>
      <c r="D11" s="421">
        <v>256.77</v>
      </c>
      <c r="E11" s="421">
        <v>295.88</v>
      </c>
      <c r="F11" s="421">
        <v>329.5</v>
      </c>
      <c r="G11" s="421">
        <v>330</v>
      </c>
      <c r="H11" s="421">
        <v>278</v>
      </c>
      <c r="I11" s="421">
        <v>299</v>
      </c>
      <c r="J11" s="421">
        <v>265</v>
      </c>
      <c r="K11" s="421">
        <v>297.5</v>
      </c>
    </row>
    <row r="12" spans="1:11" ht="12.75">
      <c r="A12" s="420" t="s">
        <v>0</v>
      </c>
      <c r="B12" s="421">
        <v>429.28</v>
      </c>
      <c r="C12" s="421">
        <v>421.95</v>
      </c>
      <c r="D12" s="421">
        <v>245.82</v>
      </c>
      <c r="E12" s="421">
        <v>290.33</v>
      </c>
      <c r="F12" s="421">
        <v>342.14</v>
      </c>
      <c r="G12" s="421">
        <v>318</v>
      </c>
      <c r="H12" s="421">
        <v>279.05</v>
      </c>
      <c r="I12" s="421">
        <v>292</v>
      </c>
      <c r="J12" s="421">
        <v>258.1</v>
      </c>
      <c r="K12" s="421">
        <v>292</v>
      </c>
    </row>
    <row r="13" spans="1:11" ht="12.75">
      <c r="A13" s="420" t="s">
        <v>29</v>
      </c>
      <c r="B13" s="421">
        <v>396.74</v>
      </c>
      <c r="C13" s="421">
        <v>424.02</v>
      </c>
      <c r="D13" s="421">
        <v>235.14</v>
      </c>
      <c r="E13" s="421">
        <v>301.03</v>
      </c>
      <c r="F13" s="421">
        <v>318</v>
      </c>
      <c r="G13" s="421">
        <v>315.24</v>
      </c>
      <c r="H13" s="421">
        <v>262.25</v>
      </c>
      <c r="I13" s="421">
        <v>280</v>
      </c>
      <c r="J13" s="421">
        <v>241.2</v>
      </c>
      <c r="K13" s="421">
        <v>287.62</v>
      </c>
    </row>
    <row r="14" spans="1:12" ht="12.75">
      <c r="A14" s="420" t="s">
        <v>30</v>
      </c>
      <c r="B14" s="421">
        <v>387.87</v>
      </c>
      <c r="C14" s="421">
        <v>414.5</v>
      </c>
      <c r="D14" s="421">
        <v>242.44</v>
      </c>
      <c r="E14" s="421">
        <v>307.41</v>
      </c>
      <c r="F14" s="421">
        <v>300.43</v>
      </c>
      <c r="G14" s="421">
        <v>320</v>
      </c>
      <c r="H14" s="421">
        <v>243.91</v>
      </c>
      <c r="I14" s="421">
        <v>280</v>
      </c>
      <c r="J14" s="421">
        <v>239.48</v>
      </c>
      <c r="K14" s="421">
        <v>297.39</v>
      </c>
      <c r="L14" s="421"/>
    </row>
    <row r="15" spans="1:11" ht="12.75">
      <c r="A15" s="420" t="s">
        <v>31</v>
      </c>
      <c r="B15" s="421">
        <v>437.19</v>
      </c>
      <c r="C15" s="421">
        <v>455.5</v>
      </c>
      <c r="D15" s="421">
        <v>248.42</v>
      </c>
      <c r="E15" s="421">
        <v>324.95</v>
      </c>
      <c r="F15" s="421">
        <v>315.71</v>
      </c>
      <c r="G15" s="421">
        <v>335</v>
      </c>
      <c r="H15" s="421">
        <v>272.86</v>
      </c>
      <c r="I15" s="421">
        <v>292</v>
      </c>
      <c r="J15" s="421">
        <v>251.43</v>
      </c>
      <c r="K15" s="421">
        <v>313.96</v>
      </c>
    </row>
    <row r="16" spans="1:11" ht="12.75">
      <c r="A16" s="420" t="s">
        <v>32</v>
      </c>
      <c r="B16" s="421">
        <v>433.52</v>
      </c>
      <c r="C16" s="421"/>
      <c r="D16" s="421">
        <v>250.1</v>
      </c>
      <c r="E16" s="421"/>
      <c r="F16" s="421">
        <v>324.32</v>
      </c>
      <c r="G16" s="421"/>
      <c r="H16" s="421">
        <v>272.73</v>
      </c>
      <c r="I16" s="421"/>
      <c r="J16" s="421">
        <v>255.45</v>
      </c>
      <c r="K16" s="421"/>
    </row>
    <row r="17" spans="1:11" ht="12.75">
      <c r="A17" s="420" t="s">
        <v>33</v>
      </c>
      <c r="B17" s="421">
        <v>480.13</v>
      </c>
      <c r="C17" s="421"/>
      <c r="D17" s="421">
        <v>264.25043478260875</v>
      </c>
      <c r="E17" s="421"/>
      <c r="F17" s="421">
        <v>338.69565217391306</v>
      </c>
      <c r="G17" s="421"/>
      <c r="H17" s="421">
        <v>284.3478260869565</v>
      </c>
      <c r="I17" s="421"/>
      <c r="J17" s="421">
        <v>272.60869565217394</v>
      </c>
      <c r="K17" s="421"/>
    </row>
    <row r="18" spans="1:11" ht="12.75">
      <c r="A18" s="420" t="s">
        <v>34</v>
      </c>
      <c r="B18" s="279">
        <v>460.96</v>
      </c>
      <c r="C18" s="279"/>
      <c r="D18" s="279">
        <v>277.02</v>
      </c>
      <c r="E18" s="279"/>
      <c r="F18" s="279">
        <v>345.5</v>
      </c>
      <c r="G18" s="279"/>
      <c r="H18" s="279">
        <v>281.75</v>
      </c>
      <c r="I18" s="279"/>
      <c r="J18" s="279">
        <v>280.75</v>
      </c>
      <c r="K18" s="279"/>
    </row>
    <row r="19" spans="1:11" ht="12.75">
      <c r="A19" s="420" t="s">
        <v>35</v>
      </c>
      <c r="B19" s="421">
        <v>455.2</v>
      </c>
      <c r="C19" s="421"/>
      <c r="D19" s="421">
        <v>275.25</v>
      </c>
      <c r="E19" s="421"/>
      <c r="F19" s="421">
        <v>340.5</v>
      </c>
      <c r="G19" s="421"/>
      <c r="H19" s="421">
        <v>290</v>
      </c>
      <c r="I19" s="421"/>
      <c r="J19" s="421">
        <v>285</v>
      </c>
      <c r="K19" s="421"/>
    </row>
    <row r="20" spans="1:11" ht="12.75">
      <c r="A20" s="422" t="s">
        <v>39</v>
      </c>
      <c r="B20" s="132">
        <f aca="true" t="shared" si="0" ref="B20:K20">AVERAGE(B8:B19)</f>
        <v>418.6116666666667</v>
      </c>
      <c r="C20" s="133">
        <f t="shared" si="0"/>
        <v>441.8342857142857</v>
      </c>
      <c r="D20" s="132">
        <f t="shared" si="0"/>
        <v>252.39670289855073</v>
      </c>
      <c r="E20" s="132">
        <f t="shared" si="0"/>
        <v>300.7383432539682</v>
      </c>
      <c r="F20" s="133">
        <f t="shared" si="0"/>
        <v>316.69797101449274</v>
      </c>
      <c r="G20" s="133">
        <f t="shared" si="0"/>
        <v>327.07166666666666</v>
      </c>
      <c r="H20" s="133">
        <f t="shared" si="0"/>
        <v>266.9931521739131</v>
      </c>
      <c r="I20" s="133">
        <f t="shared" si="0"/>
        <v>285.71230158730157</v>
      </c>
      <c r="J20" s="133">
        <f t="shared" si="0"/>
        <v>258.85072463768114</v>
      </c>
      <c r="K20" s="423">
        <f t="shared" si="0"/>
        <v>291.8027976190476</v>
      </c>
    </row>
    <row r="21" spans="1:11" ht="12.75">
      <c r="A21" s="226" t="s">
        <v>131</v>
      </c>
      <c r="B21" s="227"/>
      <c r="C21" s="227"/>
      <c r="D21" s="227"/>
      <c r="E21" s="227"/>
      <c r="F21" s="228"/>
      <c r="G21" s="227"/>
      <c r="H21" s="228"/>
      <c r="I21" s="227"/>
      <c r="J21" s="228"/>
      <c r="K21" s="227"/>
    </row>
    <row r="22" spans="1:7" ht="12.75">
      <c r="A22" s="6" t="s">
        <v>358</v>
      </c>
      <c r="B22" s="229"/>
      <c r="C22" s="229"/>
      <c r="D22" s="229"/>
      <c r="E22" s="229"/>
      <c r="F22" s="230"/>
      <c r="G22" s="231"/>
    </row>
    <row r="23" spans="1:7" ht="12.75">
      <c r="A23" s="231"/>
      <c r="B23" s="232"/>
      <c r="C23" s="233"/>
      <c r="D23" s="233"/>
      <c r="E23" s="233"/>
      <c r="F23" s="233"/>
      <c r="G23" s="231"/>
    </row>
    <row r="24" spans="1:7" ht="12.75">
      <c r="A24" s="231"/>
      <c r="B24" s="231"/>
      <c r="C24" s="231"/>
      <c r="D24" s="231"/>
      <c r="E24" s="231"/>
      <c r="F24" s="231"/>
      <c r="G24" s="231"/>
    </row>
    <row r="41" ht="12.75">
      <c r="K41" s="11"/>
    </row>
    <row r="42" ht="12.75">
      <c r="K42" s="12"/>
    </row>
    <row r="43" ht="12.75">
      <c r="K43" s="12"/>
    </row>
    <row r="55" spans="9:11" ht="12.75">
      <c r="I55" s="11"/>
      <c r="J55" s="11"/>
      <c r="K55" s="11"/>
    </row>
    <row r="56" spans="9:11" ht="12.75">
      <c r="I56" s="11"/>
      <c r="J56" s="11"/>
      <c r="K56" s="11"/>
    </row>
    <row r="57" spans="9:11" ht="12.75">
      <c r="I57" s="12"/>
      <c r="J57" s="12"/>
      <c r="K57" s="12"/>
    </row>
    <row r="58" spans="9:11" ht="12.75">
      <c r="I58" s="12"/>
      <c r="J58" s="12"/>
      <c r="K58" s="12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1">
      <selection activeCell="M28" sqref="M28"/>
    </sheetView>
  </sheetViews>
  <sheetFormatPr defaultColWidth="11.00390625" defaultRowHeight="12.75"/>
  <cols>
    <col min="1" max="1" width="2.57421875" style="194" customWidth="1"/>
    <col min="2" max="2" width="43.421875" style="200" customWidth="1"/>
    <col min="3" max="3" width="11.00390625" style="195" bestFit="1" customWidth="1"/>
    <col min="4" max="4" width="7.7109375" style="195" customWidth="1"/>
    <col min="5" max="5" width="10.8515625" style="195" customWidth="1"/>
    <col min="6" max="6" width="7.7109375" style="195" customWidth="1"/>
    <col min="7" max="7" width="8.7109375" style="195" customWidth="1"/>
    <col min="8" max="16384" width="11.00390625" style="195" customWidth="1"/>
  </cols>
  <sheetData>
    <row r="1" spans="1:5" s="189" customFormat="1" ht="12">
      <c r="A1" s="186" t="s">
        <v>76</v>
      </c>
      <c r="B1" s="187"/>
      <c r="C1" s="188"/>
      <c r="D1" s="188"/>
      <c r="E1" s="188"/>
    </row>
    <row r="2" spans="1:5" s="189" customFormat="1" ht="12">
      <c r="A2" s="186" t="s">
        <v>169</v>
      </c>
      <c r="B2" s="187"/>
      <c r="C2" s="188"/>
      <c r="D2" s="188"/>
      <c r="E2" s="188"/>
    </row>
    <row r="3" spans="1:7" s="189" customFormat="1" ht="12">
      <c r="A3" s="190" t="s">
        <v>170</v>
      </c>
      <c r="B3" s="191"/>
      <c r="C3" s="192"/>
      <c r="D3" s="192"/>
      <c r="E3" s="192"/>
      <c r="G3" s="193"/>
    </row>
    <row r="4" spans="1:2" s="189" customFormat="1" ht="12">
      <c r="A4" s="190" t="s">
        <v>171</v>
      </c>
      <c r="B4" s="191"/>
    </row>
    <row r="5" spans="1:2" s="189" customFormat="1" ht="12">
      <c r="A5" s="194"/>
      <c r="B5" s="194"/>
    </row>
    <row r="6" spans="1:5" s="189" customFormat="1" ht="12">
      <c r="A6" s="194" t="s">
        <v>168</v>
      </c>
      <c r="B6" s="194"/>
      <c r="C6" s="195"/>
      <c r="D6" s="195"/>
      <c r="E6" s="195"/>
    </row>
    <row r="7" spans="1:5" s="189" customFormat="1" ht="12">
      <c r="A7" s="194" t="s">
        <v>308</v>
      </c>
      <c r="B7" s="194"/>
      <c r="C7" s="195"/>
      <c r="D7" s="195"/>
      <c r="E7" s="195"/>
    </row>
    <row r="8" spans="1:2" s="189" customFormat="1" ht="12">
      <c r="A8" s="194"/>
      <c r="B8" s="194"/>
    </row>
    <row r="9" spans="1:2" s="189" customFormat="1" ht="12">
      <c r="A9" s="194"/>
      <c r="B9" s="194"/>
    </row>
    <row r="10" spans="1:8" s="197" customFormat="1" ht="11.25" customHeight="1">
      <c r="A10" s="625" t="s">
        <v>172</v>
      </c>
      <c r="B10" s="626"/>
      <c r="C10" s="623" t="s">
        <v>362</v>
      </c>
      <c r="D10" s="624"/>
      <c r="E10" s="623" t="s">
        <v>363</v>
      </c>
      <c r="F10" s="624"/>
      <c r="G10" s="621" t="s">
        <v>173</v>
      </c>
      <c r="H10" s="196"/>
    </row>
    <row r="11" spans="1:8" s="197" customFormat="1" ht="24">
      <c r="A11" s="627"/>
      <c r="B11" s="628"/>
      <c r="C11" s="399" t="s">
        <v>184</v>
      </c>
      <c r="D11" s="398" t="s">
        <v>174</v>
      </c>
      <c r="E11" s="399" t="s">
        <v>185</v>
      </c>
      <c r="F11" s="398" t="s">
        <v>174</v>
      </c>
      <c r="G11" s="622"/>
      <c r="H11" s="196"/>
    </row>
    <row r="12" spans="1:8" s="190" customFormat="1" ht="12">
      <c r="A12" s="242" t="s">
        <v>175</v>
      </c>
      <c r="B12" s="242"/>
      <c r="C12" s="243">
        <v>22520404</v>
      </c>
      <c r="D12" s="244">
        <f aca="true" t="shared" si="0" ref="D12:D35">C12/$C$35</f>
        <v>0.377141527171044</v>
      </c>
      <c r="E12" s="243">
        <v>27251545</v>
      </c>
      <c r="F12" s="244">
        <f aca="true" t="shared" si="1" ref="F12:F35">E12/$E$35</f>
        <v>0.4030578211420727</v>
      </c>
      <c r="G12" s="244">
        <f aca="true" t="shared" si="2" ref="G12:G35">IF(E12&lt;&gt;0,(C12/E12-1),"-")</f>
        <v>-0.17361001000126786</v>
      </c>
      <c r="H12" s="198"/>
    </row>
    <row r="13" spans="1:8" s="190" customFormat="1" ht="12">
      <c r="A13" s="242" t="s">
        <v>201</v>
      </c>
      <c r="B13" s="242"/>
      <c r="C13" s="243">
        <v>9704431</v>
      </c>
      <c r="D13" s="244">
        <f t="shared" si="0"/>
        <v>0.16251679710834768</v>
      </c>
      <c r="E13" s="243">
        <v>11334842</v>
      </c>
      <c r="F13" s="244">
        <f t="shared" si="1"/>
        <v>0.16764542045266256</v>
      </c>
      <c r="G13" s="244">
        <f t="shared" si="2"/>
        <v>-0.14384064638924832</v>
      </c>
      <c r="H13" s="196"/>
    </row>
    <row r="14" spans="1:8" s="190" customFormat="1" ht="12">
      <c r="A14" s="242" t="s">
        <v>176</v>
      </c>
      <c r="B14" s="242"/>
      <c r="C14" s="243">
        <v>6746063</v>
      </c>
      <c r="D14" s="244">
        <f t="shared" si="0"/>
        <v>0.11297401690538388</v>
      </c>
      <c r="E14" s="243">
        <v>6541175</v>
      </c>
      <c r="F14" s="244">
        <f t="shared" si="1"/>
        <v>0.09674577141255652</v>
      </c>
      <c r="G14" s="244">
        <f t="shared" si="2"/>
        <v>0.03132281279739502</v>
      </c>
      <c r="H14" s="196"/>
    </row>
    <row r="15" spans="1:8" s="190" customFormat="1" ht="12">
      <c r="A15" s="242" t="s">
        <v>177</v>
      </c>
      <c r="B15" s="242"/>
      <c r="C15" s="243">
        <v>5314852</v>
      </c>
      <c r="D15" s="244">
        <f t="shared" si="0"/>
        <v>0.08900601427790006</v>
      </c>
      <c r="E15" s="243">
        <v>6544263</v>
      </c>
      <c r="F15" s="244">
        <f t="shared" si="1"/>
        <v>0.09679144377908425</v>
      </c>
      <c r="G15" s="244">
        <f t="shared" si="2"/>
        <v>-0.1878608790630817</v>
      </c>
      <c r="H15" s="196"/>
    </row>
    <row r="16" spans="1:8" s="190" customFormat="1" ht="12">
      <c r="A16" s="245" t="s">
        <v>149</v>
      </c>
      <c r="B16" s="245"/>
      <c r="C16" s="246">
        <f>'Total Exp.sacas'!B11</f>
        <v>4101248.97</v>
      </c>
      <c r="D16" s="247">
        <f t="shared" si="0"/>
        <v>0.06868221812781294</v>
      </c>
      <c r="E16" s="246">
        <f>'Total Exp.sacas'!E11</f>
        <v>4060942.823</v>
      </c>
      <c r="F16" s="247">
        <f t="shared" si="1"/>
        <v>0.06006245759720845</v>
      </c>
      <c r="G16" s="244">
        <f t="shared" si="2"/>
        <v>0.009925317532598177</v>
      </c>
      <c r="H16" s="198"/>
    </row>
    <row r="17" spans="1:8" s="190" customFormat="1" ht="12">
      <c r="A17" s="245"/>
      <c r="B17" s="245" t="s">
        <v>178</v>
      </c>
      <c r="C17" s="246">
        <f>'Total Exp.sacas'!B6</f>
        <v>3685631</v>
      </c>
      <c r="D17" s="247">
        <f t="shared" si="0"/>
        <v>0.06172200569443346</v>
      </c>
      <c r="E17" s="246">
        <f>'Total Exp.sacas'!E6</f>
        <v>3646195</v>
      </c>
      <c r="F17" s="247">
        <f t="shared" si="1"/>
        <v>0.05392822359829947</v>
      </c>
      <c r="G17" s="244">
        <f t="shared" si="2"/>
        <v>0.010815658515246795</v>
      </c>
      <c r="H17" s="198"/>
    </row>
    <row r="18" spans="1:8" s="190" customFormat="1" ht="12">
      <c r="A18" s="245"/>
      <c r="B18" s="245" t="s">
        <v>179</v>
      </c>
      <c r="C18" s="246">
        <f>'Total Exp.sacas'!B7</f>
        <v>380808.065</v>
      </c>
      <c r="D18" s="247">
        <f t="shared" si="0"/>
        <v>0.006377262823222452</v>
      </c>
      <c r="E18" s="246">
        <f>'Total Exp.sacas'!E7</f>
        <v>373408</v>
      </c>
      <c r="F18" s="247">
        <f t="shared" si="1"/>
        <v>0.005522806684062099</v>
      </c>
      <c r="G18" s="244">
        <f t="shared" si="2"/>
        <v>0.019817639150741195</v>
      </c>
      <c r="H18" s="198"/>
    </row>
    <row r="19" spans="1:8" s="190" customFormat="1" ht="12">
      <c r="A19" s="245"/>
      <c r="B19" s="245" t="s">
        <v>225</v>
      </c>
      <c r="C19" s="246">
        <f>'Total Exp.sacas'!B8</f>
        <v>6949.887</v>
      </c>
      <c r="D19" s="247">
        <f t="shared" si="0"/>
        <v>0.00011638738793700971</v>
      </c>
      <c r="E19" s="246">
        <f>'Total Exp.sacas'!E8</f>
        <v>7631</v>
      </c>
      <c r="F19" s="247">
        <f t="shared" si="1"/>
        <v>0.00011286458192132436</v>
      </c>
      <c r="G19" s="244">
        <f t="shared" si="2"/>
        <v>-0.08925606080461279</v>
      </c>
      <c r="H19" s="196"/>
    </row>
    <row r="20" spans="1:8" s="190" customFormat="1" ht="12">
      <c r="A20" s="245"/>
      <c r="B20" s="245" t="s">
        <v>198</v>
      </c>
      <c r="C20" s="246">
        <f>'Total Exp.sacas'!B9</f>
        <v>27829.876</v>
      </c>
      <c r="D20" s="247">
        <f t="shared" si="0"/>
        <v>0.0004660574444233232</v>
      </c>
      <c r="E20" s="246">
        <f>'Total Exp.sacas'!E9</f>
        <v>33708</v>
      </c>
      <c r="F20" s="247">
        <f t="shared" si="1"/>
        <v>0.0004985505605299438</v>
      </c>
      <c r="G20" s="244">
        <f t="shared" si="2"/>
        <v>-0.17438364779874216</v>
      </c>
      <c r="H20" s="196"/>
    </row>
    <row r="21" spans="1:8" s="190" customFormat="1" ht="12">
      <c r="A21" s="245"/>
      <c r="B21" s="245" t="s">
        <v>351</v>
      </c>
      <c r="C21" s="246">
        <f>'Exp.Destino-Ano'!B10</f>
        <v>30.142</v>
      </c>
      <c r="D21" s="247">
        <f t="shared" si="0"/>
        <v>5.047777967033632E-07</v>
      </c>
      <c r="E21" s="246">
        <f>'Exp.Destino-Ano'!E10</f>
        <v>0.823</v>
      </c>
      <c r="F21" s="247">
        <f t="shared" si="1"/>
        <v>1.217239561279648E-08</v>
      </c>
      <c r="G21" s="244">
        <f t="shared" si="2"/>
        <v>35.62454434993925</v>
      </c>
      <c r="H21" s="196"/>
    </row>
    <row r="22" spans="1:8" s="190" customFormat="1" ht="12">
      <c r="A22" s="242" t="s">
        <v>203</v>
      </c>
      <c r="B22" s="242"/>
      <c r="C22" s="243">
        <v>2253735</v>
      </c>
      <c r="D22" s="244">
        <f t="shared" si="0"/>
        <v>0.03774253160550907</v>
      </c>
      <c r="E22" s="243">
        <v>2125857</v>
      </c>
      <c r="F22" s="244">
        <f t="shared" si="1"/>
        <v>0.03144200780101177</v>
      </c>
      <c r="G22" s="244">
        <f t="shared" si="2"/>
        <v>0.06015362275073066</v>
      </c>
      <c r="H22" s="196"/>
    </row>
    <row r="23" spans="1:8" s="190" customFormat="1" ht="12">
      <c r="A23" s="242" t="s">
        <v>202</v>
      </c>
      <c r="B23" s="242"/>
      <c r="C23" s="243">
        <v>1888180</v>
      </c>
      <c r="D23" s="244">
        <f t="shared" si="0"/>
        <v>0.03162070666111593</v>
      </c>
      <c r="E23" s="243">
        <v>2310192</v>
      </c>
      <c r="F23" s="244">
        <f t="shared" si="1"/>
        <v>0.03416837298361789</v>
      </c>
      <c r="G23" s="244">
        <f t="shared" si="2"/>
        <v>-0.18267399419615338</v>
      </c>
      <c r="H23" s="198"/>
    </row>
    <row r="24" spans="1:8" s="190" customFormat="1" ht="12">
      <c r="A24" s="242" t="s">
        <v>270</v>
      </c>
      <c r="B24" s="242"/>
      <c r="C24" s="243">
        <v>1401962</v>
      </c>
      <c r="D24" s="244">
        <f t="shared" si="0"/>
        <v>0.023478179597300794</v>
      </c>
      <c r="E24" s="243">
        <v>1297966</v>
      </c>
      <c r="F24" s="244">
        <f t="shared" si="1"/>
        <v>0.019197272957422837</v>
      </c>
      <c r="G24" s="244">
        <f t="shared" si="2"/>
        <v>0.08012228363454832</v>
      </c>
      <c r="H24" s="196"/>
    </row>
    <row r="25" spans="1:8" s="190" customFormat="1" ht="12">
      <c r="A25" s="242" t="s">
        <v>180</v>
      </c>
      <c r="B25" s="242"/>
      <c r="C25" s="243">
        <v>1325062</v>
      </c>
      <c r="D25" s="244">
        <f t="shared" si="0"/>
        <v>0.022190361517329702</v>
      </c>
      <c r="E25" s="243">
        <v>1381065</v>
      </c>
      <c r="F25" s="244">
        <f t="shared" si="1"/>
        <v>0.020426329947736053</v>
      </c>
      <c r="G25" s="244">
        <f t="shared" si="2"/>
        <v>-0.040550589581228924</v>
      </c>
      <c r="H25" s="196"/>
    </row>
    <row r="26" spans="1:8" s="190" customFormat="1" ht="12">
      <c r="A26" s="242" t="s">
        <v>181</v>
      </c>
      <c r="B26" s="242"/>
      <c r="C26" s="243">
        <v>802412</v>
      </c>
      <c r="D26" s="244">
        <f t="shared" si="0"/>
        <v>0.013437720171466362</v>
      </c>
      <c r="E26" s="243">
        <v>769554</v>
      </c>
      <c r="F26" s="244">
        <f t="shared" si="1"/>
        <v>0.011381914621397305</v>
      </c>
      <c r="G26" s="244">
        <f t="shared" si="2"/>
        <v>0.0426974585279265</v>
      </c>
      <c r="H26" s="196"/>
    </row>
    <row r="27" spans="1:8" s="190" customFormat="1" ht="12">
      <c r="A27" s="242" t="s">
        <v>192</v>
      </c>
      <c r="B27" s="242"/>
      <c r="C27" s="243">
        <v>447890</v>
      </c>
      <c r="D27" s="244">
        <f t="shared" si="0"/>
        <v>0.007500661116232147</v>
      </c>
      <c r="E27" s="243">
        <v>426286</v>
      </c>
      <c r="F27" s="244">
        <f t="shared" si="1"/>
        <v>0.006304886799752807</v>
      </c>
      <c r="G27" s="244">
        <f t="shared" si="2"/>
        <v>0.050679590697325194</v>
      </c>
      <c r="H27" s="196"/>
    </row>
    <row r="28" spans="1:8" s="190" customFormat="1" ht="12">
      <c r="A28" s="242" t="s">
        <v>218</v>
      </c>
      <c r="B28" s="242"/>
      <c r="C28" s="243">
        <v>282438</v>
      </c>
      <c r="D28" s="244">
        <f t="shared" si="0"/>
        <v>0.004729892885186932</v>
      </c>
      <c r="E28" s="243">
        <v>274933</v>
      </c>
      <c r="F28" s="244">
        <f t="shared" si="1"/>
        <v>0.004066334438654891</v>
      </c>
      <c r="G28" s="244">
        <f t="shared" si="2"/>
        <v>0.027297559769107416</v>
      </c>
      <c r="H28" s="196"/>
    </row>
    <row r="29" spans="1:8" s="190" customFormat="1" ht="12">
      <c r="A29" s="242" t="s">
        <v>238</v>
      </c>
      <c r="B29" s="242"/>
      <c r="C29" s="243">
        <v>254051</v>
      </c>
      <c r="D29" s="244">
        <f t="shared" si="0"/>
        <v>0.004254505475094092</v>
      </c>
      <c r="E29" s="243">
        <v>262769</v>
      </c>
      <c r="F29" s="244">
        <f t="shared" si="1"/>
        <v>0.00388642554408131</v>
      </c>
      <c r="G29" s="244">
        <f t="shared" si="2"/>
        <v>-0.03317742960547099</v>
      </c>
      <c r="H29" s="196"/>
    </row>
    <row r="30" spans="1:8" s="190" customFormat="1" ht="12">
      <c r="A30" s="242" t="s">
        <v>236</v>
      </c>
      <c r="B30" s="242"/>
      <c r="C30" s="243">
        <v>211268</v>
      </c>
      <c r="D30" s="244">
        <f t="shared" si="0"/>
        <v>0.0035380331614997726</v>
      </c>
      <c r="E30" s="243">
        <v>552213</v>
      </c>
      <c r="F30" s="244">
        <f t="shared" si="1"/>
        <v>0.008167381650703746</v>
      </c>
      <c r="G30" s="244">
        <f t="shared" si="2"/>
        <v>-0.6174157435627194</v>
      </c>
      <c r="H30" s="196"/>
    </row>
    <row r="31" spans="1:8" s="190" customFormat="1" ht="12">
      <c r="A31" s="242" t="s">
        <v>271</v>
      </c>
      <c r="B31" s="242"/>
      <c r="C31" s="243">
        <v>224034</v>
      </c>
      <c r="D31" s="244">
        <f t="shared" si="0"/>
        <v>0.003751821010770396</v>
      </c>
      <c r="E31" s="243">
        <v>216050</v>
      </c>
      <c r="F31" s="244">
        <f t="shared" si="1"/>
        <v>0.003195438726785759</v>
      </c>
      <c r="G31" s="244">
        <f t="shared" si="2"/>
        <v>0.036954408701689534</v>
      </c>
      <c r="H31" s="196"/>
    </row>
    <row r="32" spans="1:8" s="190" customFormat="1" ht="12">
      <c r="A32" s="242" t="s">
        <v>254</v>
      </c>
      <c r="B32" s="242"/>
      <c r="C32" s="243">
        <v>189118</v>
      </c>
      <c r="D32" s="244">
        <f t="shared" si="0"/>
        <v>0.0031670946638227937</v>
      </c>
      <c r="E32" s="243">
        <v>228517</v>
      </c>
      <c r="F32" s="244">
        <f t="shared" si="1"/>
        <v>0.0033798290744221303</v>
      </c>
      <c r="G32" s="244">
        <f t="shared" si="2"/>
        <v>-0.17241168053142653</v>
      </c>
      <c r="H32" s="196"/>
    </row>
    <row r="33" spans="1:8" s="190" customFormat="1" ht="12">
      <c r="A33" s="242" t="s">
        <v>235</v>
      </c>
      <c r="B33" s="242"/>
      <c r="C33" s="243">
        <v>128910</v>
      </c>
      <c r="D33" s="244">
        <f t="shared" si="0"/>
        <v>0.002158811816502905</v>
      </c>
      <c r="E33" s="243">
        <v>120692</v>
      </c>
      <c r="F33" s="244">
        <f t="shared" si="1"/>
        <v>0.001785067765856176</v>
      </c>
      <c r="G33" s="244">
        <f t="shared" si="2"/>
        <v>0.06809067709541639</v>
      </c>
      <c r="H33" s="196"/>
    </row>
    <row r="34" spans="1:8" s="190" customFormat="1" ht="12">
      <c r="A34" s="242" t="s">
        <v>182</v>
      </c>
      <c r="B34" s="242"/>
      <c r="C34" s="475">
        <f>C35-SUM(C12:C15)+SUM(C22:C33)</f>
        <v>24836713</v>
      </c>
      <c r="D34" s="244">
        <f t="shared" si="0"/>
        <v>0.4159319642191553</v>
      </c>
      <c r="E34" s="475">
        <f>E35-SUM(E12:E15)+SUM(E22:E33)</f>
        <v>25906268</v>
      </c>
      <c r="F34" s="244">
        <f t="shared" si="1"/>
        <v>0.38316080552506665</v>
      </c>
      <c r="G34" s="244">
        <f t="shared" si="2"/>
        <v>-0.04128556841919495</v>
      </c>
      <c r="H34" s="198"/>
    </row>
    <row r="35" spans="1:8" ht="12">
      <c r="A35" s="406" t="s">
        <v>183</v>
      </c>
      <c r="B35" s="400"/>
      <c r="C35" s="401">
        <v>59713403</v>
      </c>
      <c r="D35" s="402">
        <f t="shared" si="0"/>
        <v>1</v>
      </c>
      <c r="E35" s="401">
        <v>67611999</v>
      </c>
      <c r="F35" s="402">
        <f t="shared" si="1"/>
        <v>1</v>
      </c>
      <c r="G35" s="407">
        <f t="shared" si="2"/>
        <v>-0.11682240011865352</v>
      </c>
      <c r="H35" s="196"/>
    </row>
    <row r="36" spans="1:8" ht="12">
      <c r="A36" s="620" t="s">
        <v>208</v>
      </c>
      <c r="B36" s="620"/>
      <c r="C36" s="620"/>
      <c r="D36" s="620"/>
      <c r="E36" s="248"/>
      <c r="F36" s="248"/>
      <c r="G36" s="248"/>
      <c r="H36" s="196"/>
    </row>
    <row r="37" spans="1:8" ht="12">
      <c r="A37" s="267" t="s">
        <v>358</v>
      </c>
      <c r="B37" s="184"/>
      <c r="C37" s="185"/>
      <c r="D37" s="202"/>
      <c r="E37" s="202"/>
      <c r="F37" s="202"/>
      <c r="G37" s="202"/>
      <c r="H37" s="196"/>
    </row>
    <row r="38" spans="1:8" ht="12">
      <c r="A38" s="196"/>
      <c r="B38" s="196"/>
      <c r="C38" s="199"/>
      <c r="D38" s="199"/>
      <c r="E38" s="199"/>
      <c r="F38" s="199"/>
      <c r="G38" s="199"/>
      <c r="H38" s="196"/>
    </row>
    <row r="39" spans="1:8" ht="12">
      <c r="A39" s="196"/>
      <c r="B39" s="196"/>
      <c r="C39" s="199"/>
      <c r="D39" s="216"/>
      <c r="E39" s="199"/>
      <c r="F39" s="199"/>
      <c r="G39" s="199"/>
      <c r="H39" s="196"/>
    </row>
    <row r="40" spans="1:8" ht="12">
      <c r="A40" s="196"/>
      <c r="B40" s="196"/>
      <c r="C40" s="215"/>
      <c r="D40" s="215"/>
      <c r="E40" s="215"/>
      <c r="F40" s="215"/>
      <c r="G40" s="215"/>
      <c r="H40" s="196"/>
    </row>
    <row r="41" spans="1:8" ht="12">
      <c r="A41" s="196"/>
      <c r="B41" s="196"/>
      <c r="C41" s="199"/>
      <c r="D41" s="196"/>
      <c r="E41" s="196"/>
      <c r="F41" s="196"/>
      <c r="G41" s="196"/>
      <c r="H41" s="196"/>
    </row>
    <row r="42" spans="1:8" ht="12">
      <c r="A42" s="196"/>
      <c r="B42" s="196"/>
      <c r="C42" s="196"/>
      <c r="D42" s="196"/>
      <c r="E42" s="196"/>
      <c r="F42" s="196"/>
      <c r="G42" s="196"/>
      <c r="H42" s="196"/>
    </row>
    <row r="43" spans="1:8" ht="12">
      <c r="A43" s="196"/>
      <c r="B43" s="196"/>
      <c r="C43" s="196"/>
      <c r="D43" s="196"/>
      <c r="E43" s="196"/>
      <c r="F43" s="196"/>
      <c r="G43" s="196"/>
      <c r="H43" s="196"/>
    </row>
    <row r="44" spans="1:8" ht="12">
      <c r="A44" s="196"/>
      <c r="B44" s="196"/>
      <c r="C44" s="196"/>
      <c r="D44" s="196"/>
      <c r="E44" s="196"/>
      <c r="F44" s="196"/>
      <c r="G44" s="196"/>
      <c r="H44" s="196"/>
    </row>
    <row r="45" spans="1:8" ht="12">
      <c r="A45" s="196"/>
      <c r="B45" s="196"/>
      <c r="C45" s="196"/>
      <c r="D45" s="196"/>
      <c r="E45" s="196"/>
      <c r="F45" s="196"/>
      <c r="G45" s="196"/>
      <c r="H45" s="196"/>
    </row>
    <row r="46" spans="1:8" ht="12">
      <c r="A46" s="196"/>
      <c r="B46" s="196"/>
      <c r="C46" s="196"/>
      <c r="D46" s="196"/>
      <c r="E46" s="196"/>
      <c r="F46" s="196"/>
      <c r="G46" s="196"/>
      <c r="H46" s="196"/>
    </row>
    <row r="47" spans="1:8" ht="12">
      <c r="A47" s="196"/>
      <c r="B47" s="196"/>
      <c r="C47" s="196"/>
      <c r="D47" s="196"/>
      <c r="E47" s="196"/>
      <c r="F47" s="196"/>
      <c r="G47" s="196"/>
      <c r="H47" s="196"/>
    </row>
    <row r="48" spans="1:8" ht="12">
      <c r="A48" s="196"/>
      <c r="B48" s="196"/>
      <c r="C48" s="196"/>
      <c r="D48" s="196"/>
      <c r="E48" s="196"/>
      <c r="F48" s="196"/>
      <c r="G48" s="196"/>
      <c r="H48" s="196"/>
    </row>
    <row r="49" spans="1:8" ht="12">
      <c r="A49" s="196"/>
      <c r="B49" s="196"/>
      <c r="C49" s="196"/>
      <c r="D49" s="196"/>
      <c r="E49" s="196"/>
      <c r="F49" s="196"/>
      <c r="G49" s="196"/>
      <c r="H49" s="196"/>
    </row>
    <row r="50" spans="1:8" ht="12">
      <c r="A50" s="196"/>
      <c r="B50" s="196"/>
      <c r="C50" s="196"/>
      <c r="D50" s="196"/>
      <c r="E50" s="196"/>
      <c r="F50" s="196"/>
      <c r="G50" s="196"/>
      <c r="H50" s="196"/>
    </row>
    <row r="51" spans="1:8" ht="12">
      <c r="A51" s="196"/>
      <c r="B51" s="196"/>
      <c r="C51" s="196"/>
      <c r="D51" s="196"/>
      <c r="E51" s="196"/>
      <c r="F51" s="196"/>
      <c r="G51" s="196"/>
      <c r="H51" s="196"/>
    </row>
    <row r="52" spans="1:8" ht="12">
      <c r="A52" s="196"/>
      <c r="B52" s="196"/>
      <c r="C52" s="196"/>
      <c r="D52" s="196"/>
      <c r="E52" s="196"/>
      <c r="F52" s="196"/>
      <c r="G52" s="196"/>
      <c r="H52" s="196"/>
    </row>
    <row r="53" spans="1:8" ht="12">
      <c r="A53" s="196"/>
      <c r="B53" s="196"/>
      <c r="C53" s="196"/>
      <c r="D53" s="196"/>
      <c r="E53" s="196"/>
      <c r="F53" s="196"/>
      <c r="G53" s="196"/>
      <c r="H53" s="196"/>
    </row>
    <row r="54" spans="1:8" ht="12">
      <c r="A54" s="196"/>
      <c r="B54" s="196"/>
      <c r="C54" s="196"/>
      <c r="D54" s="196"/>
      <c r="E54" s="196"/>
      <c r="F54" s="196"/>
      <c r="G54" s="196"/>
      <c r="H54" s="196"/>
    </row>
    <row r="55" spans="1:8" ht="12">
      <c r="A55" s="196"/>
      <c r="B55" s="196"/>
      <c r="C55" s="196"/>
      <c r="D55" s="196"/>
      <c r="E55" s="196"/>
      <c r="F55" s="196"/>
      <c r="G55" s="196"/>
      <c r="H55" s="196"/>
    </row>
    <row r="56" spans="1:8" ht="12">
      <c r="A56" s="196"/>
      <c r="B56" s="196"/>
      <c r="C56" s="196"/>
      <c r="D56" s="196"/>
      <c r="E56" s="196"/>
      <c r="F56" s="196"/>
      <c r="G56" s="196"/>
      <c r="H56" s="196"/>
    </row>
    <row r="57" spans="1:8" ht="12">
      <c r="A57" s="196"/>
      <c r="B57" s="196"/>
      <c r="C57" s="196"/>
      <c r="D57" s="196"/>
      <c r="E57" s="196"/>
      <c r="F57" s="196"/>
      <c r="G57" s="196"/>
      <c r="H57" s="196"/>
    </row>
    <row r="58" spans="1:8" ht="12">
      <c r="A58" s="196"/>
      <c r="B58" s="196"/>
      <c r="C58" s="196"/>
      <c r="D58" s="196"/>
      <c r="E58" s="196"/>
      <c r="F58" s="196"/>
      <c r="G58" s="196"/>
      <c r="H58" s="196"/>
    </row>
    <row r="59" spans="1:8" ht="12">
      <c r="A59" s="196"/>
      <c r="B59" s="196"/>
      <c r="C59" s="196"/>
      <c r="D59" s="196"/>
      <c r="E59" s="196"/>
      <c r="F59" s="196"/>
      <c r="G59" s="196"/>
      <c r="H59" s="196"/>
    </row>
    <row r="60" spans="1:8" ht="12">
      <c r="A60" s="196"/>
      <c r="B60" s="196"/>
      <c r="C60" s="196"/>
      <c r="D60" s="196"/>
      <c r="E60" s="196"/>
      <c r="F60" s="196"/>
      <c r="G60" s="196"/>
      <c r="H60" s="196"/>
    </row>
    <row r="61" spans="1:8" ht="12">
      <c r="A61" s="196"/>
      <c r="B61" s="196"/>
      <c r="C61" s="196"/>
      <c r="D61" s="196"/>
      <c r="E61" s="196"/>
      <c r="F61" s="196"/>
      <c r="G61" s="196"/>
      <c r="H61" s="196"/>
    </row>
    <row r="62" spans="1:8" ht="12">
      <c r="A62" s="196"/>
      <c r="B62" s="196"/>
      <c r="C62" s="196"/>
      <c r="D62" s="196"/>
      <c r="E62" s="196"/>
      <c r="F62" s="196"/>
      <c r="G62" s="196"/>
      <c r="H62" s="196"/>
    </row>
    <row r="63" spans="1:8" ht="12">
      <c r="A63" s="196"/>
      <c r="B63" s="196"/>
      <c r="C63" s="196"/>
      <c r="D63" s="196"/>
      <c r="E63" s="196"/>
      <c r="F63" s="196"/>
      <c r="G63" s="196"/>
      <c r="H63" s="196"/>
    </row>
    <row r="64" spans="1:8" ht="12">
      <c r="A64" s="196"/>
      <c r="B64" s="196"/>
      <c r="C64" s="196"/>
      <c r="D64" s="196"/>
      <c r="E64" s="196"/>
      <c r="F64" s="196"/>
      <c r="G64" s="196"/>
      <c r="H64" s="196"/>
    </row>
    <row r="65" spans="1:8" ht="12">
      <c r="A65" s="196"/>
      <c r="B65" s="196"/>
      <c r="C65" s="196"/>
      <c r="D65" s="196"/>
      <c r="E65" s="196"/>
      <c r="F65" s="196"/>
      <c r="G65" s="196"/>
      <c r="H65" s="196"/>
    </row>
    <row r="66" spans="1:8" ht="12">
      <c r="A66" s="196"/>
      <c r="B66" s="196"/>
      <c r="C66" s="196"/>
      <c r="D66" s="196"/>
      <c r="E66" s="196"/>
      <c r="F66" s="196"/>
      <c r="G66" s="196"/>
      <c r="H66" s="196"/>
    </row>
    <row r="67" spans="1:8" ht="12">
      <c r="A67" s="196"/>
      <c r="B67" s="196"/>
      <c r="C67" s="196"/>
      <c r="D67" s="196"/>
      <c r="E67" s="196"/>
      <c r="F67" s="196"/>
      <c r="G67" s="196"/>
      <c r="H67" s="196"/>
    </row>
    <row r="68" spans="1:8" ht="12">
      <c r="A68" s="196"/>
      <c r="B68" s="196"/>
      <c r="C68" s="196"/>
      <c r="D68" s="196"/>
      <c r="E68" s="196"/>
      <c r="F68" s="196"/>
      <c r="G68" s="196"/>
      <c r="H68" s="196"/>
    </row>
    <row r="69" spans="1:8" ht="12">
      <c r="A69" s="196"/>
      <c r="B69" s="196"/>
      <c r="C69" s="196"/>
      <c r="D69" s="196"/>
      <c r="E69" s="196"/>
      <c r="F69" s="196"/>
      <c r="G69" s="196"/>
      <c r="H69" s="196"/>
    </row>
    <row r="70" spans="1:8" ht="12">
      <c r="A70" s="196"/>
      <c r="B70" s="196"/>
      <c r="C70" s="196"/>
      <c r="D70" s="196"/>
      <c r="E70" s="196"/>
      <c r="F70" s="196"/>
      <c r="G70" s="196"/>
      <c r="H70" s="196"/>
    </row>
    <row r="71" spans="1:8" ht="12">
      <c r="A71" s="196"/>
      <c r="B71" s="196"/>
      <c r="C71" s="196"/>
      <c r="D71" s="196"/>
      <c r="E71" s="196"/>
      <c r="F71" s="196"/>
      <c r="G71" s="196"/>
      <c r="H71" s="196"/>
    </row>
    <row r="72" spans="1:8" ht="12">
      <c r="A72" s="196"/>
      <c r="B72" s="196"/>
      <c r="C72" s="196"/>
      <c r="D72" s="196"/>
      <c r="E72" s="196"/>
      <c r="F72" s="196"/>
      <c r="G72" s="196"/>
      <c r="H72" s="196"/>
    </row>
    <row r="73" spans="1:8" ht="12">
      <c r="A73" s="196"/>
      <c r="B73" s="196"/>
      <c r="C73" s="196"/>
      <c r="D73" s="196"/>
      <c r="E73" s="196"/>
      <c r="F73" s="196"/>
      <c r="G73" s="196"/>
      <c r="H73" s="196"/>
    </row>
    <row r="74" spans="1:8" ht="12">
      <c r="A74" s="196"/>
      <c r="B74" s="196"/>
      <c r="C74" s="196"/>
      <c r="D74" s="196"/>
      <c r="E74" s="196"/>
      <c r="F74" s="196"/>
      <c r="G74" s="196"/>
      <c r="H74" s="196"/>
    </row>
    <row r="75" spans="1:8" ht="12">
      <c r="A75" s="196"/>
      <c r="B75" s="196"/>
      <c r="C75" s="196"/>
      <c r="D75" s="196"/>
      <c r="E75" s="196"/>
      <c r="F75" s="196"/>
      <c r="G75" s="196"/>
      <c r="H75" s="196"/>
    </row>
    <row r="76" spans="1:8" ht="12">
      <c r="A76" s="196"/>
      <c r="B76" s="196"/>
      <c r="C76" s="196"/>
      <c r="D76" s="196"/>
      <c r="E76" s="196"/>
      <c r="F76" s="196"/>
      <c r="G76" s="196"/>
      <c r="H76" s="196"/>
    </row>
    <row r="77" spans="1:8" ht="12">
      <c r="A77" s="196"/>
      <c r="B77" s="196"/>
      <c r="C77" s="196"/>
      <c r="D77" s="196"/>
      <c r="E77" s="196"/>
      <c r="F77" s="196"/>
      <c r="G77" s="196"/>
      <c r="H77" s="196"/>
    </row>
    <row r="78" spans="1:8" ht="12">
      <c r="A78" s="196"/>
      <c r="B78" s="196"/>
      <c r="C78" s="196"/>
      <c r="D78" s="196"/>
      <c r="E78" s="196"/>
      <c r="F78" s="196"/>
      <c r="G78" s="196"/>
      <c r="H78" s="196"/>
    </row>
    <row r="79" spans="1:8" ht="12">
      <c r="A79" s="196"/>
      <c r="B79" s="196"/>
      <c r="C79" s="196"/>
      <c r="D79" s="196"/>
      <c r="E79" s="196"/>
      <c r="F79" s="196"/>
      <c r="G79" s="196"/>
      <c r="H79" s="196"/>
    </row>
    <row r="80" spans="1:8" ht="12">
      <c r="A80" s="196"/>
      <c r="B80" s="196"/>
      <c r="C80" s="196"/>
      <c r="D80" s="196"/>
      <c r="E80" s="196"/>
      <c r="F80" s="196"/>
      <c r="G80" s="196"/>
      <c r="H80" s="196"/>
    </row>
    <row r="81" spans="1:8" ht="12">
      <c r="A81" s="196"/>
      <c r="B81" s="196"/>
      <c r="C81" s="196"/>
      <c r="D81" s="196"/>
      <c r="E81" s="196"/>
      <c r="F81" s="196"/>
      <c r="G81" s="196"/>
      <c r="H81" s="196"/>
    </row>
    <row r="82" spans="1:8" ht="12">
      <c r="A82" s="196"/>
      <c r="B82" s="196"/>
      <c r="C82" s="196"/>
      <c r="D82" s="196"/>
      <c r="E82" s="196"/>
      <c r="F82" s="196"/>
      <c r="G82" s="196"/>
      <c r="H82" s="196"/>
    </row>
    <row r="83" spans="1:8" ht="12">
      <c r="A83" s="196"/>
      <c r="B83" s="196"/>
      <c r="C83" s="196"/>
      <c r="D83" s="196"/>
      <c r="E83" s="196"/>
      <c r="F83" s="196"/>
      <c r="G83" s="196"/>
      <c r="H83" s="196"/>
    </row>
    <row r="84" spans="1:8" ht="12">
      <c r="A84" s="196"/>
      <c r="B84" s="196"/>
      <c r="C84" s="196"/>
      <c r="D84" s="196"/>
      <c r="E84" s="196"/>
      <c r="F84" s="196"/>
      <c r="G84" s="196"/>
      <c r="H84" s="196"/>
    </row>
    <row r="85" spans="1:8" ht="12">
      <c r="A85" s="196"/>
      <c r="B85" s="196"/>
      <c r="C85" s="196"/>
      <c r="D85" s="196"/>
      <c r="E85" s="196"/>
      <c r="F85" s="196"/>
      <c r="G85" s="196"/>
      <c r="H85" s="196"/>
    </row>
    <row r="86" spans="1:8" ht="12">
      <c r="A86" s="196"/>
      <c r="B86" s="196"/>
      <c r="C86" s="196"/>
      <c r="D86" s="196"/>
      <c r="E86" s="196"/>
      <c r="F86" s="196"/>
      <c r="G86" s="196"/>
      <c r="H86" s="196"/>
    </row>
  </sheetData>
  <sheetProtection/>
  <mergeCells count="5">
    <mergeCell ref="A36:D36"/>
    <mergeCell ref="G10:G11"/>
    <mergeCell ref="C10:D10"/>
    <mergeCell ref="E10:F10"/>
    <mergeCell ref="A10:B11"/>
  </mergeCells>
  <conditionalFormatting sqref="G12:G35">
    <cfRule type="cellIs" priority="1" dxfId="0" operator="lessThan" stopIfTrue="1">
      <formula>0</formula>
    </cfRule>
  </conditionalFormatting>
  <hyperlinks>
    <hyperlink ref="B36:D36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F34" formulaRange="1"/>
    <ignoredError sqref="D34" formula="1" formulaRange="1"/>
    <ignoredError sqref="D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9.8515625" style="256" customWidth="1"/>
    <col min="2" max="6" width="12.00390625" style="256" customWidth="1"/>
    <col min="7" max="7" width="12.00390625" style="272" customWidth="1"/>
    <col min="8" max="10" width="12.00390625" style="256" customWidth="1"/>
    <col min="11" max="16384" width="9.140625" style="256" customWidth="1"/>
  </cols>
  <sheetData>
    <row r="1" spans="1:10" ht="18.75" customHeight="1">
      <c r="A1" s="629" t="s">
        <v>259</v>
      </c>
      <c r="B1" s="629"/>
      <c r="C1" s="629"/>
      <c r="D1" s="629"/>
      <c r="E1" s="629"/>
      <c r="F1" s="629"/>
      <c r="G1" s="629"/>
      <c r="H1" s="629"/>
      <c r="I1" s="629"/>
      <c r="J1" s="629"/>
    </row>
    <row r="2" ht="18.75" customHeight="1"/>
    <row r="3" spans="1:11" ht="18.75" customHeight="1">
      <c r="A3" s="630" t="s">
        <v>149</v>
      </c>
      <c r="B3" s="632" t="str">
        <f>'Exp.Agronegócio'!C10</f>
        <v>Jan a Ago/2015</v>
      </c>
      <c r="C3" s="633"/>
      <c r="D3" s="633"/>
      <c r="E3" s="632" t="str">
        <f>'Exp.Agronegócio'!E10</f>
        <v>Jan a Ago/2014</v>
      </c>
      <c r="F3" s="633"/>
      <c r="G3" s="633"/>
      <c r="H3" s="634" t="s">
        <v>58</v>
      </c>
      <c r="I3" s="634"/>
      <c r="J3" s="635"/>
      <c r="K3" s="3"/>
    </row>
    <row r="4" spans="1:11" ht="18.75" customHeight="1">
      <c r="A4" s="631"/>
      <c r="B4" s="386" t="s">
        <v>1</v>
      </c>
      <c r="C4" s="386" t="s">
        <v>59</v>
      </c>
      <c r="D4" s="386" t="s">
        <v>60</v>
      </c>
      <c r="E4" s="386" t="s">
        <v>1</v>
      </c>
      <c r="F4" s="386" t="s">
        <v>59</v>
      </c>
      <c r="G4" s="386" t="s">
        <v>60</v>
      </c>
      <c r="H4" s="633" t="s">
        <v>301</v>
      </c>
      <c r="I4" s="633"/>
      <c r="J4" s="636"/>
      <c r="K4" s="3"/>
    </row>
    <row r="5" spans="1:11" ht="18.75" customHeight="1">
      <c r="A5" s="387"/>
      <c r="B5" s="388" t="s">
        <v>61</v>
      </c>
      <c r="C5" s="388" t="s">
        <v>216</v>
      </c>
      <c r="D5" s="389" t="s">
        <v>215</v>
      </c>
      <c r="E5" s="388" t="s">
        <v>61</v>
      </c>
      <c r="F5" s="388" t="s">
        <v>216</v>
      </c>
      <c r="G5" s="389" t="s">
        <v>215</v>
      </c>
      <c r="H5" s="388" t="s">
        <v>1</v>
      </c>
      <c r="I5" s="388" t="s">
        <v>59</v>
      </c>
      <c r="J5" s="390" t="s">
        <v>60</v>
      </c>
      <c r="K5" s="3"/>
    </row>
    <row r="6" spans="1:11" ht="18.75" customHeight="1">
      <c r="A6" s="280" t="s">
        <v>139</v>
      </c>
      <c r="B6" s="257">
        <f>'Exp.Verde'!B20</f>
        <v>3685631</v>
      </c>
      <c r="C6" s="257">
        <f>'Exp.Verde'!C20</f>
        <v>21099354.333333332</v>
      </c>
      <c r="D6" s="273">
        <f aca="true" t="shared" si="0" ref="D6:D11">(B6*1000)/C6</f>
        <v>174.67980023338157</v>
      </c>
      <c r="E6" s="257">
        <f>'Exp.Verde'!E14</f>
        <v>3646195</v>
      </c>
      <c r="F6" s="257">
        <f>'Exp.Verde'!F14</f>
        <v>21342200.666666664</v>
      </c>
      <c r="G6" s="273">
        <f aca="true" t="shared" si="1" ref="G6:G11">(E6*1000)/F6</f>
        <v>170.84437809146894</v>
      </c>
      <c r="H6" s="274">
        <f aca="true" t="shared" si="2" ref="H6:J11">SUM(B6-E6)*100/E6</f>
        <v>1.0815658515246716</v>
      </c>
      <c r="I6" s="274">
        <f t="shared" si="2"/>
        <v>-1.1378692250449218</v>
      </c>
      <c r="J6" s="281">
        <f t="shared" si="2"/>
        <v>2.2449800132487656</v>
      </c>
      <c r="K6" s="3"/>
    </row>
    <row r="7" spans="1:11" ht="18.75" customHeight="1">
      <c r="A7" s="280" t="s">
        <v>64</v>
      </c>
      <c r="B7" s="257">
        <f>'Exp.Solúvel'!B20</f>
        <v>380808.065</v>
      </c>
      <c r="C7" s="257">
        <f>'Exp.Solúvel'!C20</f>
        <v>2257350.779666667</v>
      </c>
      <c r="D7" s="273">
        <f t="shared" si="0"/>
        <v>168.696893912178</v>
      </c>
      <c r="E7" s="257">
        <f>'Exp.Solúvel'!E14</f>
        <v>373408</v>
      </c>
      <c r="F7" s="257">
        <f>'Exp.Solúvel'!F14</f>
        <v>2193230</v>
      </c>
      <c r="G7" s="273">
        <f t="shared" si="1"/>
        <v>170.25482963483083</v>
      </c>
      <c r="H7" s="274">
        <f t="shared" si="2"/>
        <v>1.9817639150741286</v>
      </c>
      <c r="I7" s="274">
        <f t="shared" si="2"/>
        <v>2.9235775393673658</v>
      </c>
      <c r="J7" s="281">
        <f t="shared" si="2"/>
        <v>-0.9150611034026674</v>
      </c>
      <c r="K7" s="3"/>
    </row>
    <row r="8" spans="1:11" ht="18.75" customHeight="1">
      <c r="A8" s="280" t="s">
        <v>223</v>
      </c>
      <c r="B8" s="257">
        <f>'Exp.Torrado'!B20</f>
        <v>6949.887</v>
      </c>
      <c r="C8" s="257">
        <f>'Exp.Torrado'!C20</f>
        <v>22101.481333333333</v>
      </c>
      <c r="D8" s="273">
        <f t="shared" si="0"/>
        <v>314.45344749440926</v>
      </c>
      <c r="E8" s="257">
        <f>'Exp.Torrado'!E14</f>
        <v>7631</v>
      </c>
      <c r="F8" s="257">
        <f>'Exp.Torrado'!F14</f>
        <v>19932.333333333332</v>
      </c>
      <c r="G8" s="273">
        <f t="shared" si="1"/>
        <v>382.84529324213594</v>
      </c>
      <c r="H8" s="274">
        <f t="shared" si="2"/>
        <v>-8.92560608046128</v>
      </c>
      <c r="I8" s="274">
        <f t="shared" si="2"/>
        <v>10.882559325718688</v>
      </c>
      <c r="J8" s="281">
        <f t="shared" si="2"/>
        <v>-17.86409470220946</v>
      </c>
      <c r="K8" s="3"/>
    </row>
    <row r="9" spans="1:11" ht="18.75" customHeight="1">
      <c r="A9" s="280" t="s">
        <v>200</v>
      </c>
      <c r="B9" s="257">
        <f>'Exp.Outs Ext.'!B20</f>
        <v>27829.876</v>
      </c>
      <c r="C9" s="257">
        <f>'Exp.Outs Ext.'!C20</f>
        <v>205697.3333333333</v>
      </c>
      <c r="D9" s="273">
        <f t="shared" si="0"/>
        <v>135.29526877677884</v>
      </c>
      <c r="E9" s="257">
        <f>'Exp.Outs Ext.'!E14</f>
        <v>33708</v>
      </c>
      <c r="F9" s="257">
        <f>'Exp.Outs Ext.'!F14</f>
        <v>259133.3333333333</v>
      </c>
      <c r="G9" s="273">
        <f t="shared" si="1"/>
        <v>130.07975302289685</v>
      </c>
      <c r="H9" s="274">
        <f t="shared" si="2"/>
        <v>-17.438364779874213</v>
      </c>
      <c r="I9" s="274">
        <f t="shared" si="2"/>
        <v>-20.621044507332133</v>
      </c>
      <c r="J9" s="281">
        <f t="shared" si="2"/>
        <v>4.0094754430875525</v>
      </c>
      <c r="K9" s="3"/>
    </row>
    <row r="10" spans="1:11" ht="18.75" customHeight="1">
      <c r="A10" s="280" t="s">
        <v>350</v>
      </c>
      <c r="B10" s="257">
        <v>30.142</v>
      </c>
      <c r="C10" s="257">
        <v>1.76</v>
      </c>
      <c r="D10" s="273">
        <f t="shared" si="0"/>
        <v>17126.136363636364</v>
      </c>
      <c r="E10" s="257">
        <v>0.823</v>
      </c>
      <c r="F10" s="257">
        <v>0.246</v>
      </c>
      <c r="G10" s="273">
        <f t="shared" si="1"/>
        <v>3345.528455284553</v>
      </c>
      <c r="H10" s="274">
        <f t="shared" si="2"/>
        <v>3562.454434993925</v>
      </c>
      <c r="I10" s="274">
        <f t="shared" si="2"/>
        <v>615.4471544715448</v>
      </c>
      <c r="J10" s="281">
        <f t="shared" si="2"/>
        <v>411.91124489119625</v>
      </c>
      <c r="K10" s="3"/>
    </row>
    <row r="11" spans="1:11" ht="18.75" customHeight="1">
      <c r="A11" s="282" t="s">
        <v>2</v>
      </c>
      <c r="B11" s="275">
        <f>SUM(B6:B10)</f>
        <v>4101248.97</v>
      </c>
      <c r="C11" s="275">
        <f>SUM(C6:C10)</f>
        <v>23584505.687666666</v>
      </c>
      <c r="D11" s="476">
        <f t="shared" si="0"/>
        <v>173.89590540134645</v>
      </c>
      <c r="E11" s="275">
        <f>SUM(E6:E10)</f>
        <v>4060942.823</v>
      </c>
      <c r="F11" s="275">
        <f>SUM(F6:F10)</f>
        <v>23814496.579333328</v>
      </c>
      <c r="G11" s="476">
        <f t="shared" si="1"/>
        <v>170.5239835522773</v>
      </c>
      <c r="H11" s="276">
        <f>SUM(B11-E11)*100/E11</f>
        <v>0.9925317532598106</v>
      </c>
      <c r="I11" s="276">
        <f>SUM(C11-F11)*100/F11</f>
        <v>-0.9657600399004547</v>
      </c>
      <c r="J11" s="477">
        <f t="shared" si="2"/>
        <v>1.9773886223080417</v>
      </c>
      <c r="K11" s="3"/>
    </row>
    <row r="12" spans="1:10" ht="18.75" customHeight="1">
      <c r="A12" s="277" t="s">
        <v>147</v>
      </c>
      <c r="B12" s="3"/>
      <c r="C12" s="3"/>
      <c r="D12" s="3"/>
      <c r="E12" s="3"/>
      <c r="F12" s="3"/>
      <c r="G12" s="34"/>
      <c r="H12" s="3"/>
      <c r="I12" s="3"/>
      <c r="J12" s="3"/>
    </row>
    <row r="13" ht="12.75">
      <c r="A13" s="267" t="s">
        <v>358</v>
      </c>
    </row>
  </sheetData>
  <sheetProtection/>
  <mergeCells count="6">
    <mergeCell ref="A1:J1"/>
    <mergeCell ref="A3:A4"/>
    <mergeCell ref="B3:D3"/>
    <mergeCell ref="E3:G3"/>
    <mergeCell ref="H3:J3"/>
    <mergeCell ref="H4:J4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2" width="10.7109375" style="10" customWidth="1"/>
    <col min="3" max="3" width="11.28125" style="10" bestFit="1" customWidth="1"/>
    <col min="4" max="4" width="7.8515625" style="10" bestFit="1" customWidth="1"/>
    <col min="5" max="5" width="10.7109375" style="10" customWidth="1"/>
    <col min="6" max="6" width="11.28125" style="10" bestFit="1" customWidth="1"/>
    <col min="7" max="7" width="7.8515625" style="10" bestFit="1" customWidth="1"/>
    <col min="8" max="8" width="10.7109375" style="10" customWidth="1"/>
    <col min="9" max="9" width="11.28125" style="10" bestFit="1" customWidth="1"/>
    <col min="10" max="10" width="10.7109375" style="10" customWidth="1"/>
    <col min="11" max="11" width="11.28125" style="10" bestFit="1" customWidth="1"/>
    <col min="12" max="16384" width="11.421875" style="10" customWidth="1"/>
  </cols>
  <sheetData>
    <row r="1" spans="1:11" ht="15.75">
      <c r="A1" s="637" t="s">
        <v>137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1:11" ht="15">
      <c r="A2" s="7"/>
      <c r="B2" s="8"/>
      <c r="C2" s="8"/>
      <c r="D2" s="9"/>
      <c r="E2" s="9"/>
      <c r="F2" s="9"/>
      <c r="G2" s="9"/>
      <c r="H2" s="9"/>
      <c r="I2" s="9"/>
      <c r="J2" s="9"/>
      <c r="K2" s="8"/>
    </row>
    <row r="4" spans="1:11" ht="14.25">
      <c r="A4" s="283" t="s">
        <v>3</v>
      </c>
      <c r="B4" s="638">
        <v>2015</v>
      </c>
      <c r="C4" s="639"/>
      <c r="D4" s="640"/>
      <c r="E4" s="638">
        <v>2014</v>
      </c>
      <c r="F4" s="639"/>
      <c r="G4" s="640"/>
      <c r="H4" s="638" t="s">
        <v>4</v>
      </c>
      <c r="I4" s="640"/>
      <c r="J4" s="638" t="s">
        <v>5</v>
      </c>
      <c r="K4" s="639"/>
    </row>
    <row r="5" spans="1:11" ht="14.25">
      <c r="A5" s="284"/>
      <c r="B5" s="508" t="s">
        <v>7</v>
      </c>
      <c r="C5" s="509" t="s">
        <v>6</v>
      </c>
      <c r="D5" s="136" t="s">
        <v>8</v>
      </c>
      <c r="E5" s="508" t="s">
        <v>7</v>
      </c>
      <c r="F5" s="509" t="s">
        <v>6</v>
      </c>
      <c r="G5" s="136" t="s">
        <v>8</v>
      </c>
      <c r="H5" s="134" t="s">
        <v>7</v>
      </c>
      <c r="I5" s="135" t="s">
        <v>6</v>
      </c>
      <c r="J5" s="508" t="s">
        <v>7</v>
      </c>
      <c r="K5" s="509" t="s">
        <v>6</v>
      </c>
    </row>
    <row r="6" spans="1:11" ht="14.25">
      <c r="A6" s="35" t="s">
        <v>9</v>
      </c>
      <c r="B6" s="492">
        <v>546288</v>
      </c>
      <c r="C6" s="492">
        <v>2724750</v>
      </c>
      <c r="D6" s="493">
        <f aca="true" t="shared" si="0" ref="D6:D13">(B6*1000)/C6</f>
        <v>200.49105422515828</v>
      </c>
      <c r="E6" s="492">
        <v>339097</v>
      </c>
      <c r="F6" s="492">
        <v>2545500</v>
      </c>
      <c r="G6" s="493">
        <f aca="true" t="shared" si="1" ref="G6:G18">(E6*1000)/F6</f>
        <v>133.2142997446474</v>
      </c>
      <c r="H6" s="489">
        <f>B6+SUM(E15:E18)+(E13)</f>
        <v>3451851</v>
      </c>
      <c r="I6" s="489">
        <f>C6+SUM(F15:F18)+(F13)</f>
        <v>17180716.666666668</v>
      </c>
      <c r="J6" s="489">
        <f>B6+SUM(E15:E18)+SUM(E7:E13)</f>
        <v>6248292</v>
      </c>
      <c r="K6" s="489">
        <f>C6+SUM(F15:F18)+SUM(F7:F13)</f>
        <v>33287684</v>
      </c>
    </row>
    <row r="7" spans="1:11" ht="14.25">
      <c r="A7" s="35" t="s">
        <v>10</v>
      </c>
      <c r="B7" s="492">
        <v>493482</v>
      </c>
      <c r="C7" s="492">
        <v>2513466.6666666665</v>
      </c>
      <c r="D7" s="493">
        <f t="shared" si="0"/>
        <v>196.33520768129014</v>
      </c>
      <c r="E7" s="492">
        <v>362061</v>
      </c>
      <c r="F7" s="492">
        <v>2602850</v>
      </c>
      <c r="G7" s="493">
        <f t="shared" si="1"/>
        <v>139.1017538467449</v>
      </c>
      <c r="H7" s="489">
        <f>SUM(B6:B7)+SUM(E15:E18)</f>
        <v>3434676</v>
      </c>
      <c r="I7" s="489">
        <f>SUM(C6:C7)+SUM(F15:F18)</f>
        <v>17004450</v>
      </c>
      <c r="J7" s="489">
        <f>SUM(B6:B7)+SUM(E15:E18)+SUM(E8:E13)</f>
        <v>6379713</v>
      </c>
      <c r="K7" s="489">
        <f>SUM(C6:C7)+SUM(F15:F18)+SUM(F8:F13)</f>
        <v>33198300.666666664</v>
      </c>
    </row>
    <row r="8" spans="1:11" ht="14.25">
      <c r="A8" s="35" t="s">
        <v>11</v>
      </c>
      <c r="B8" s="492">
        <v>519708</v>
      </c>
      <c r="C8" s="492">
        <v>2860383.3333333335</v>
      </c>
      <c r="D8" s="493">
        <f t="shared" si="0"/>
        <v>181.69173129475652</v>
      </c>
      <c r="E8" s="492">
        <v>409264</v>
      </c>
      <c r="F8" s="492">
        <v>2556116.6666666665</v>
      </c>
      <c r="G8" s="493">
        <f t="shared" si="1"/>
        <v>160.11162766436067</v>
      </c>
      <c r="H8" s="489">
        <f>SUM(B6:B8)+SUM(E16:E18)</f>
        <v>3399443</v>
      </c>
      <c r="I8" s="489">
        <f>SUM(C6:C8)+SUM(F16:F18)</f>
        <v>17101700</v>
      </c>
      <c r="J8" s="489">
        <f>SUM(B6:B8)+SUM(E15:E18)+SUM(E9:E13)</f>
        <v>6490157</v>
      </c>
      <c r="K8" s="489">
        <f>SUM(C6:C8)+SUM(F15:F18)+SUM(F9:F13)</f>
        <v>33502567.333333336</v>
      </c>
    </row>
    <row r="9" spans="1:11" ht="14.25">
      <c r="A9" s="35" t="s">
        <v>12</v>
      </c>
      <c r="B9" s="489">
        <v>468848</v>
      </c>
      <c r="C9" s="489">
        <v>2815050</v>
      </c>
      <c r="D9" s="493">
        <f t="shared" si="0"/>
        <v>166.55050531962132</v>
      </c>
      <c r="E9" s="489">
        <v>500838</v>
      </c>
      <c r="F9" s="489">
        <v>2863850</v>
      </c>
      <c r="G9" s="493">
        <f t="shared" si="1"/>
        <v>174.88276271452764</v>
      </c>
      <c r="H9" s="489">
        <f>SUM(B6:B9)+SUM(E17:E18)</f>
        <v>3224491</v>
      </c>
      <c r="I9" s="489">
        <f>SUM(C6:C9)+SUM(F17:F18)</f>
        <v>16822450</v>
      </c>
      <c r="J9" s="489">
        <f>SUM(B6:B9)+SUM(E15:E18)+SUM(E10:E13)</f>
        <v>6458167</v>
      </c>
      <c r="K9" s="489">
        <f>SUM(C6:C9)+SUM(F15:F18)+SUM(F10:F13)</f>
        <v>33453767.333333336</v>
      </c>
    </row>
    <row r="10" spans="1:11" ht="14.25">
      <c r="A10" s="35" t="s">
        <v>13</v>
      </c>
      <c r="B10" s="489">
        <v>434545</v>
      </c>
      <c r="C10" s="489">
        <v>2630416.6666666665</v>
      </c>
      <c r="D10" s="493">
        <f t="shared" si="0"/>
        <v>165.20006336131792</v>
      </c>
      <c r="E10" s="489">
        <v>503699</v>
      </c>
      <c r="F10" s="489">
        <v>2692600</v>
      </c>
      <c r="G10" s="493">
        <f t="shared" si="1"/>
        <v>187.06788977196763</v>
      </c>
      <c r="H10" s="489">
        <f>SUM(B6:B10)+(E18)</f>
        <v>3085933</v>
      </c>
      <c r="I10" s="489">
        <f>SUM(C6:C10)+(F18)</f>
        <v>16588783.333333332</v>
      </c>
      <c r="J10" s="489">
        <f>SUM(B6:B10)+SUM(E15:E18)+SUM(E11:E13)</f>
        <v>6389013</v>
      </c>
      <c r="K10" s="489">
        <f>SUM(C6:C10)+SUM(F15:F18)+SUM(F11:F13)</f>
        <v>33391584</v>
      </c>
    </row>
    <row r="11" spans="1:11" ht="14.25">
      <c r="A11" s="35" t="s">
        <v>14</v>
      </c>
      <c r="B11" s="489">
        <v>392821</v>
      </c>
      <c r="C11" s="489">
        <v>2386266.6666666665</v>
      </c>
      <c r="D11" s="493">
        <f t="shared" si="0"/>
        <v>164.61739397664414</v>
      </c>
      <c r="E11" s="489">
        <v>498929</v>
      </c>
      <c r="F11" s="489">
        <v>2622166.6666666665</v>
      </c>
      <c r="G11" s="493">
        <f t="shared" si="1"/>
        <v>190.27356511790506</v>
      </c>
      <c r="H11" s="489">
        <f aca="true" t="shared" si="2" ref="H11:I13">SUM(B6:B11)</f>
        <v>2855692</v>
      </c>
      <c r="I11" s="489">
        <f t="shared" si="2"/>
        <v>15930333.333333332</v>
      </c>
      <c r="J11" s="489">
        <f>SUM(B6:B11)+SUM(E15:E18)+SUM(E12:E13)</f>
        <v>6282905</v>
      </c>
      <c r="K11" s="489">
        <f>SUM(C6:C11)+SUM(F15:F18)+SUM(F12:F13)</f>
        <v>33155684</v>
      </c>
    </row>
    <row r="12" spans="1:11" ht="14.25">
      <c r="A12" s="35" t="s">
        <v>16</v>
      </c>
      <c r="B12" s="489">
        <v>405777</v>
      </c>
      <c r="C12" s="489">
        <v>2499100</v>
      </c>
      <c r="D12" s="493">
        <f t="shared" si="0"/>
        <v>162.36925293105517</v>
      </c>
      <c r="E12" s="489">
        <v>521650</v>
      </c>
      <c r="F12" s="489">
        <v>2769384</v>
      </c>
      <c r="G12" s="493">
        <f t="shared" si="1"/>
        <v>188.36318834802253</v>
      </c>
      <c r="H12" s="487">
        <f t="shared" si="2"/>
        <v>2715181</v>
      </c>
      <c r="I12" s="487">
        <f t="shared" si="2"/>
        <v>15704683.333333332</v>
      </c>
      <c r="J12" s="487">
        <f>SUM(B6:B12)+SUM(E15:E18)+E13</f>
        <v>6167032</v>
      </c>
      <c r="K12" s="487">
        <f>SUM(C6:C12)+SUM(F15:F18)+F13</f>
        <v>32885399.999999996</v>
      </c>
    </row>
    <row r="13" spans="1:11" ht="14.25">
      <c r="A13" s="35" t="s">
        <v>17</v>
      </c>
      <c r="B13" s="492">
        <v>424162</v>
      </c>
      <c r="C13" s="492">
        <v>2669921</v>
      </c>
      <c r="D13" s="493">
        <f t="shared" si="0"/>
        <v>158.86687284005782</v>
      </c>
      <c r="E13" s="492">
        <v>510657</v>
      </c>
      <c r="F13" s="492">
        <v>2689733.3333333335</v>
      </c>
      <c r="G13" s="493">
        <f>(E13*1000)/F13</f>
        <v>189.85413671739454</v>
      </c>
      <c r="H13" s="491">
        <f t="shared" si="2"/>
        <v>2645861</v>
      </c>
      <c r="I13" s="491">
        <f t="shared" si="2"/>
        <v>15861137.666666666</v>
      </c>
      <c r="J13" s="491">
        <f>SUM(B6:B13)+SUM(E6:E9)</f>
        <v>5296891</v>
      </c>
      <c r="K13" s="491">
        <f>SUM(C6:C13)+SUM(F6:F9)</f>
        <v>31667671</v>
      </c>
    </row>
    <row r="14" spans="1:11" ht="14.25">
      <c r="A14" s="285" t="s">
        <v>15</v>
      </c>
      <c r="B14" s="494">
        <f>SUM(B6:B13)</f>
        <v>3685631</v>
      </c>
      <c r="C14" s="495">
        <f>SUM(C6:C13)</f>
        <v>21099354.333333332</v>
      </c>
      <c r="D14" s="496">
        <f>(B14*1000)/C14</f>
        <v>174.67980023338157</v>
      </c>
      <c r="E14" s="494">
        <f>SUM(E6:E13)</f>
        <v>3646195</v>
      </c>
      <c r="F14" s="495">
        <f>SUM(F6:F13)</f>
        <v>21342200.666666664</v>
      </c>
      <c r="G14" s="496">
        <f>(E14*1000)/F14</f>
        <v>170.84437809146894</v>
      </c>
      <c r="H14" s="489"/>
      <c r="I14" s="489"/>
      <c r="J14" s="489"/>
      <c r="K14" s="489"/>
    </row>
    <row r="15" spans="1:11" ht="14.25">
      <c r="A15" s="35" t="s">
        <v>18</v>
      </c>
      <c r="B15" s="489"/>
      <c r="C15" s="489"/>
      <c r="D15" s="493"/>
      <c r="E15" s="489">
        <v>554941</v>
      </c>
      <c r="F15" s="489">
        <v>2763133.3333333335</v>
      </c>
      <c r="G15" s="493">
        <f t="shared" si="1"/>
        <v>200.83757569908556</v>
      </c>
      <c r="H15" s="489"/>
      <c r="I15" s="489"/>
      <c r="J15" s="489"/>
      <c r="K15" s="489"/>
    </row>
    <row r="16" spans="1:12" ht="14.25">
      <c r="A16" s="35" t="s">
        <v>19</v>
      </c>
      <c r="B16" s="489"/>
      <c r="C16" s="489"/>
      <c r="D16" s="493"/>
      <c r="E16" s="489">
        <v>643800</v>
      </c>
      <c r="F16" s="489">
        <v>3094300</v>
      </c>
      <c r="G16" s="493">
        <f t="shared" si="1"/>
        <v>208.05998125585754</v>
      </c>
      <c r="H16" s="489"/>
      <c r="I16" s="489"/>
      <c r="J16" s="489"/>
      <c r="K16" s="489"/>
      <c r="L16" s="102"/>
    </row>
    <row r="17" spans="1:11" ht="14.25">
      <c r="A17" s="35" t="s">
        <v>20</v>
      </c>
      <c r="B17" s="489"/>
      <c r="C17" s="489"/>
      <c r="D17" s="493"/>
      <c r="E17" s="489">
        <v>573103</v>
      </c>
      <c r="F17" s="489">
        <v>2864083.3333333335</v>
      </c>
      <c r="G17" s="493">
        <f t="shared" si="1"/>
        <v>200.0999738136111</v>
      </c>
      <c r="H17" s="489"/>
      <c r="I17" s="489"/>
      <c r="J17" s="489"/>
      <c r="K17" s="489"/>
    </row>
    <row r="18" spans="1:11" ht="14.25">
      <c r="A18" s="35" t="s">
        <v>21</v>
      </c>
      <c r="B18" s="489"/>
      <c r="C18" s="489"/>
      <c r="D18" s="493"/>
      <c r="E18" s="489">
        <v>623062</v>
      </c>
      <c r="F18" s="489">
        <v>3044716.6666666665</v>
      </c>
      <c r="G18" s="497">
        <f t="shared" si="1"/>
        <v>204.63710361664744</v>
      </c>
      <c r="H18" s="489"/>
      <c r="I18" s="489"/>
      <c r="J18" s="489"/>
      <c r="K18" s="489"/>
    </row>
    <row r="19" spans="1:11" ht="14.25">
      <c r="A19" s="285" t="s">
        <v>15</v>
      </c>
      <c r="B19" s="494"/>
      <c r="C19" s="495"/>
      <c r="D19" s="496"/>
      <c r="E19" s="494">
        <f>SUM(E15:E18)</f>
        <v>2394906</v>
      </c>
      <c r="F19" s="498">
        <f>SUM(F15:F18)</f>
        <v>11766233.333333334</v>
      </c>
      <c r="G19" s="499">
        <f>(E19*1000)/F19</f>
        <v>203.54058364755642</v>
      </c>
      <c r="H19" s="500"/>
      <c r="I19" s="500"/>
      <c r="J19" s="500"/>
      <c r="K19" s="500"/>
    </row>
    <row r="20" spans="1:11" ht="14.25">
      <c r="A20" s="285" t="s">
        <v>2</v>
      </c>
      <c r="B20" s="501">
        <f>SUM(B19,B14)</f>
        <v>3685631</v>
      </c>
      <c r="C20" s="502">
        <f>SUM(C19,C14)</f>
        <v>21099354.333333332</v>
      </c>
      <c r="D20" s="503">
        <f>(B20*1000)/C20</f>
        <v>174.67980023338157</v>
      </c>
      <c r="E20" s="495">
        <f>SUM(E19,E14)</f>
        <v>6041101</v>
      </c>
      <c r="F20" s="495">
        <f>SUM(F19,F14)</f>
        <v>33108434</v>
      </c>
      <c r="G20" s="504">
        <f>(E20*1000)/F20</f>
        <v>182.46411171244162</v>
      </c>
      <c r="H20" s="505"/>
      <c r="I20" s="505"/>
      <c r="J20" s="505"/>
      <c r="K20" s="505"/>
    </row>
    <row r="21" spans="1:11" ht="14.25">
      <c r="A21" s="4" t="s">
        <v>147</v>
      </c>
      <c r="B21" s="6"/>
      <c r="C21" s="6"/>
      <c r="D21" s="3"/>
      <c r="E21" s="292" t="s">
        <v>186</v>
      </c>
      <c r="F21" s="5"/>
      <c r="G21" s="3"/>
      <c r="H21" s="3"/>
      <c r="I21" s="3"/>
      <c r="J21" s="3"/>
      <c r="K21" s="3"/>
    </row>
    <row r="22" spans="1:11" ht="14.25">
      <c r="A22" s="4" t="s">
        <v>358</v>
      </c>
      <c r="B22" s="6"/>
      <c r="C22" s="6"/>
      <c r="D22" s="3"/>
      <c r="E22" s="5"/>
      <c r="F22" s="5"/>
      <c r="G22" s="3"/>
      <c r="H22" s="3"/>
      <c r="I22" s="3"/>
      <c r="J22" s="3"/>
      <c r="K22" s="3"/>
    </row>
    <row r="23" spans="1:11" ht="14.25">
      <c r="A23" s="4" t="s">
        <v>80</v>
      </c>
      <c r="B23" s="6"/>
      <c r="C23" s="6"/>
      <c r="D23" s="3"/>
      <c r="E23" s="5"/>
      <c r="F23" s="5"/>
      <c r="G23" s="3"/>
      <c r="H23" s="3"/>
      <c r="I23" s="3"/>
      <c r="J23" s="3"/>
      <c r="K23" s="3"/>
    </row>
    <row r="24" spans="1:11" ht="14.25">
      <c r="A24" s="4" t="s">
        <v>81</v>
      </c>
      <c r="B24" s="6"/>
      <c r="C24" s="6"/>
      <c r="D24" s="3"/>
      <c r="E24" s="3"/>
      <c r="F24" s="3"/>
      <c r="G24" s="3"/>
      <c r="H24" s="3"/>
      <c r="I24" s="4"/>
      <c r="J24" s="4"/>
      <c r="K24" s="4"/>
    </row>
    <row r="25" spans="1:11" ht="14.25">
      <c r="A25" s="4" t="s">
        <v>79</v>
      </c>
      <c r="B25" s="6"/>
      <c r="C25" s="6"/>
      <c r="D25" s="3"/>
      <c r="E25" s="3"/>
      <c r="F25" s="3"/>
      <c r="G25" s="3"/>
      <c r="H25" s="3"/>
      <c r="I25" s="4"/>
      <c r="J25" s="4"/>
      <c r="K25" s="4"/>
    </row>
    <row r="26" spans="1:3" ht="14.25">
      <c r="A26" s="6"/>
      <c r="B26" s="6"/>
      <c r="C26" s="6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sheetProtection/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Marcelo de Medeiros Fernandes</cp:lastModifiedBy>
  <cp:lastPrinted>2015-09-10T13:18:52Z</cp:lastPrinted>
  <dcterms:created xsi:type="dcterms:W3CDTF">2000-10-30T17:12:15Z</dcterms:created>
  <dcterms:modified xsi:type="dcterms:W3CDTF">2015-09-18T14:01:00Z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