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8375" windowHeight="5055" tabRatio="932" activeTab="0"/>
  </bookViews>
  <sheets>
    <sheet name="Capa" sheetId="1" r:id="rId1"/>
    <sheet name="CCapa" sheetId="2" r:id="rId2"/>
    <sheet name="Indice" sheetId="3" r:id="rId3"/>
    <sheet name="Resumo" sheetId="4" r:id="rId4"/>
    <sheet name="1.Mundial" sheetId="5" r:id="rId5"/>
    <sheet name="2.Brasil" sheetId="6" r:id="rId6"/>
    <sheet name="3.Indicadores" sheetId="7" r:id="rId7"/>
    <sheet name="4.Estoque" sheetId="8" r:id="rId8"/>
    <sheet name="5.Série Safras" sheetId="9" r:id="rId9"/>
    <sheet name="6.Preços" sheetId="10" r:id="rId10"/>
    <sheet name="7.Gráfico" sheetId="11" r:id="rId11"/>
    <sheet name="8.Cotações" sheetId="12" r:id="rId12"/>
    <sheet name="9.Agro Ano" sheetId="13" r:id="rId13"/>
    <sheet name="10.Agro Mês" sheetId="14" r:id="rId14"/>
    <sheet name="11.Importações" sheetId="15" r:id="rId15"/>
    <sheet name="12.Exportações" sheetId="16" r:id="rId16"/>
    <sheet name="13.Evolução" sheetId="17" r:id="rId17"/>
    <sheet name="14.Exp. Verde" sheetId="18" r:id="rId18"/>
    <sheet name="15.Exp. Solúvel" sheetId="19" r:id="rId19"/>
    <sheet name="16.Exp. Torrado" sheetId="20" r:id="rId20"/>
    <sheet name="17.Exp. Extrato" sheetId="21" r:id="rId21"/>
    <sheet name="18.Total" sheetId="22" r:id="rId22"/>
    <sheet name="19.Destinos" sheetId="23" r:id="rId23"/>
    <sheet name="20.Custos" sheetId="24" r:id="rId24"/>
    <sheet name="21.PM" sheetId="25" r:id="rId25"/>
    <sheet name="22.Safra 16" sheetId="26" r:id="rId26"/>
    <sheet name="23.Safra 15" sheetId="27" r:id="rId27"/>
    <sheet name="24.Safra 14" sheetId="28" r:id="rId28"/>
    <sheet name="25.Ranking" sheetId="29" r:id="rId29"/>
    <sheet name="Plan1" sheetId="30" r:id="rId30"/>
    <sheet name="QS" sheetId="31" r:id="rId31"/>
    <sheet name="Plan3" sheetId="32" r:id="rId32"/>
  </sheets>
  <externalReferences>
    <externalReference r:id="rId35"/>
  </externalReferences>
  <definedNames>
    <definedName name="_xlnm.Print_Area" localSheetId="4">'1.Mundial'!$A$1:$U$28</definedName>
    <definedName name="OLE_LINK1" localSheetId="3">'Resumo'!$B$2</definedName>
  </definedNames>
  <calcPr fullCalcOnLoad="1"/>
</workbook>
</file>

<file path=xl/sharedStrings.xml><?xml version="1.0" encoding="utf-8"?>
<sst xmlns="http://schemas.openxmlformats.org/spreadsheetml/2006/main" count="1399" uniqueCount="628">
  <si>
    <t>Brasil</t>
  </si>
  <si>
    <t>EUA</t>
  </si>
  <si>
    <t>Total</t>
  </si>
  <si>
    <t>RO</t>
  </si>
  <si>
    <t>PA</t>
  </si>
  <si>
    <t>BA</t>
  </si>
  <si>
    <t>PR</t>
  </si>
  <si>
    <t>MG</t>
  </si>
  <si>
    <t>SP</t>
  </si>
  <si>
    <t>MT</t>
  </si>
  <si>
    <t>GO</t>
  </si>
  <si>
    <t>P.Médio</t>
  </si>
  <si>
    <t>%</t>
  </si>
  <si>
    <t>VERDE</t>
  </si>
  <si>
    <t>Outros</t>
  </si>
  <si>
    <t>Produtor</t>
  </si>
  <si>
    <t>Produção</t>
  </si>
  <si>
    <t>Consumo</t>
  </si>
  <si>
    <t>Exportação</t>
  </si>
  <si>
    <t>COMPLEXO SOJA</t>
  </si>
  <si>
    <t>PRODUTO</t>
  </si>
  <si>
    <t>Unidade</t>
  </si>
  <si>
    <t>PERÍODOS ANTERIORES</t>
  </si>
  <si>
    <t>Semana</t>
  </si>
  <si>
    <t>12 Meses</t>
  </si>
  <si>
    <t>4 Semanas</t>
  </si>
  <si>
    <t>1 Semana</t>
  </si>
  <si>
    <t>Atual</t>
  </si>
  <si>
    <t>R$/Saca</t>
  </si>
  <si>
    <t>ES</t>
  </si>
  <si>
    <t>RJ</t>
  </si>
  <si>
    <t>2011</t>
  </si>
  <si>
    <t xml:space="preserve">EVOLUÇÃO DOS PREÇOS INTERNACIONAIS </t>
  </si>
  <si>
    <t>Londres</t>
  </si>
  <si>
    <t>US$/Tonelada</t>
  </si>
  <si>
    <t>INDICADORES DE DESEMPENHO DA CAFEICULTURA BRASILEIRA</t>
  </si>
  <si>
    <t>1.1. Área em produção - milhões/há</t>
  </si>
  <si>
    <t>1.2. Produtividade sc/ha</t>
  </si>
  <si>
    <t xml:space="preserve">5.1. Financiamentos </t>
  </si>
  <si>
    <t>5.3. Pesquisa Cafeeira</t>
  </si>
  <si>
    <t>Fontes: DCAF - CONAB - ABIC - MDIC/SECEX - OIC - CEPEA/ESALQ/BM&amp;F</t>
  </si>
  <si>
    <t>ESTOQUES PRIVADOS E PÚBLICOS DE CAFÉ NO BRASIL</t>
  </si>
  <si>
    <t>(Em mil sacas de 60 kg)</t>
  </si>
  <si>
    <t>ANO</t>
  </si>
  <si>
    <t>ESTOQUES PRIVADOS</t>
  </si>
  <si>
    <t>PÚBLICOS</t>
  </si>
  <si>
    <t>TOTAL GERAL</t>
  </si>
  <si>
    <t>Arábica</t>
  </si>
  <si>
    <t>Robusta</t>
  </si>
  <si>
    <t>DCAF</t>
  </si>
  <si>
    <t>CONAB</t>
  </si>
  <si>
    <t>Fontes: CONAB</t>
  </si>
  <si>
    <t>R$/sc 60 kg</t>
  </si>
  <si>
    <t xml:space="preserve">MÊS </t>
  </si>
  <si>
    <t xml:space="preserve">* Arábica </t>
  </si>
  <si>
    <t>Tipo 6 BC-Duro</t>
  </si>
  <si>
    <t xml:space="preserve">Tipo 6-Pen.13 </t>
  </si>
  <si>
    <t>Tipo 7 BC</t>
  </si>
  <si>
    <t>(Base Cepea-Esalq)</t>
  </si>
  <si>
    <t xml:space="preserve">(Base Cepea-Esalq) </t>
  </si>
  <si>
    <t>(Base Varginha-MG)</t>
  </si>
  <si>
    <t>(Base Vitória-ES)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</si>
  <si>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</si>
  <si>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</si>
  <si>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</si>
  <si>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</si>
  <si>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</si>
  <si>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</si>
  <si>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</si>
  <si>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</si>
  <si>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</si>
  <si>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</si>
  <si>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</si>
  <si>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</si>
  <si>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Anual</t>
  </si>
  <si>
    <t>EXPORTAÇÃO DO AGRONEGÓCIO BRASILEIRO - TOTAL</t>
  </si>
  <si>
    <t>PRINCIPAIS PRODUTOS EXPORTADOS</t>
  </si>
  <si>
    <t>Var.% (a/b)</t>
  </si>
  <si>
    <t>US$ MIL - (a)</t>
  </si>
  <si>
    <t>Part. %</t>
  </si>
  <si>
    <t>US$ MIL - (b)</t>
  </si>
  <si>
    <t>CARNES</t>
  </si>
  <si>
    <t>COMPLEXO SUCROALCOOLEIRO</t>
  </si>
  <si>
    <t>PRODUTOS FLORESTAIS</t>
  </si>
  <si>
    <t>CAFÉS</t>
  </si>
  <si>
    <t>CAFÉ VERDE</t>
  </si>
  <si>
    <t>CAFÉ SOLÚVEL</t>
  </si>
  <si>
    <t>CAFÉ TORRADO &amp; MOÍDO</t>
  </si>
  <si>
    <t>OUTROS EXTRATOS, ESSENCIAIS, CONCENTRADOS</t>
  </si>
  <si>
    <t>CASCAS, PELÍCULAS DE CAFÉ E SUCEDANEOS</t>
  </si>
  <si>
    <t>CEREAIS, FARINHAS E PREPARAÇÕES</t>
  </si>
  <si>
    <t>COUROS, PRODUTOS DE COURO E PELETERIA</t>
  </si>
  <si>
    <t>FUMO E SEUS PRODUTOS</t>
  </si>
  <si>
    <t xml:space="preserve">SUCOS </t>
  </si>
  <si>
    <t>FIBRAS E PRODUTOS TÊXTEIS</t>
  </si>
  <si>
    <t>FRUTAS (INCLUI NOZES E CASTANHAS)</t>
  </si>
  <si>
    <t>ANIMAIS VIVOS (EXCETO PESCADOS)</t>
  </si>
  <si>
    <t>CHÁ, MATE E ESPECIARIAS</t>
  </si>
  <si>
    <t>BEBIDAS</t>
  </si>
  <si>
    <t>LÁCTEOS</t>
  </si>
  <si>
    <t>CACAU E SEUS PRODUTOS</t>
  </si>
  <si>
    <t>PESCADOS</t>
  </si>
  <si>
    <t>DEMAIS PRODUTOS</t>
  </si>
  <si>
    <t>TOTAL:</t>
  </si>
  <si>
    <t>Fonte: AgroStat Brasil a partir de dados da SECEX/MDIC</t>
  </si>
  <si>
    <t>VARIAÇÃO RELATIVA</t>
  </si>
  <si>
    <t>VALOR</t>
  </si>
  <si>
    <t>QUANT.</t>
  </si>
  <si>
    <t>P.MÉDIO</t>
  </si>
  <si>
    <t>US$ Mil</t>
  </si>
  <si>
    <t>SC/60 kg</t>
  </si>
  <si>
    <t>US$ (FOB)</t>
  </si>
  <si>
    <t>SOLÚVEL</t>
  </si>
  <si>
    <t>TORRADO &amp; MOÍDO</t>
  </si>
  <si>
    <t>OUTROS EXTRATOS</t>
  </si>
  <si>
    <t>TOTAL</t>
  </si>
  <si>
    <t>Fonte: MDIC/SECEX</t>
  </si>
  <si>
    <t>EXPORTAÇÕES BRASILEIRAS DE CAFÉ VERDE</t>
  </si>
  <si>
    <t>MÊS</t>
  </si>
  <si>
    <t>Receita</t>
  </si>
  <si>
    <t>Volume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</si>
  <si>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</si>
  <si>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</si>
  <si>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</si>
  <si>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</si>
  <si>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</si>
  <si>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</si>
  <si>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</si>
  <si>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</si>
  <si>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</si>
  <si>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</si>
  <si>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</si>
  <si>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</si>
  <si>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</si>
  <si>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Receita: em mil US$</t>
  </si>
  <si>
    <t>Volume: em saca de 60 kg</t>
  </si>
  <si>
    <t>Preço Medio: em US$ por saca</t>
  </si>
  <si>
    <t>EXPORTAÇÕES BRASILEIRAS DE CAFÉ SOLÚVEL</t>
  </si>
  <si>
    <t>EXPORTAÇÕES BRASILEIRAS DE CAFÉ TORRADO &amp; MOÍDO</t>
  </si>
  <si>
    <t>EXPORTAÇÕES BRASILEIRAS DE CAFÉS</t>
  </si>
  <si>
    <t>t</t>
  </si>
  <si>
    <t>US$/t</t>
  </si>
  <si>
    <t>Conversão Verde em sacas de 60 kg: peso liquido/60</t>
  </si>
  <si>
    <t>Conversão Solúvel em sacas de 60 kg: peso liquido*2,6/60</t>
  </si>
  <si>
    <t>Conversão Torrado e Moído em sacas de 60 kg: peso liquido *1,19/60</t>
  </si>
  <si>
    <t xml:space="preserve">EXPORTAÇÕES BRASILEIRAS DE CAFÉ VERDE </t>
  </si>
  <si>
    <t>NCM: 0901.11.10/0901.12.00</t>
  </si>
  <si>
    <t>PAÍSES</t>
  </si>
  <si>
    <t>QUANT</t>
  </si>
  <si>
    <t>US$ MIL</t>
  </si>
  <si>
    <t xml:space="preserve">   OUTROS</t>
  </si>
  <si>
    <t xml:space="preserve">TOTAL </t>
  </si>
  <si>
    <t>EXPORTAÇÕES BRASILEIRAS DE CAFÉ SOLÚVEL, MESMO DESCAFEINADO</t>
  </si>
  <si>
    <t>NCM: 2101.11.10</t>
  </si>
  <si>
    <t>NCM: 0901.21.00/0901.22.00</t>
  </si>
  <si>
    <t xml:space="preserve">EXPORTAÇÕES BRASILEIRAS DE OUTROS EXTRATOS, ESSENCIAIS, PREPARS, CONCENTRADOS DE CAFÉ </t>
  </si>
  <si>
    <t>NCM: 2101.11.90/2101.12.00</t>
  </si>
  <si>
    <t>TOTAL DAS IMPORTAÇÕES BRASILEIRAS DE CAFÉS</t>
  </si>
  <si>
    <t>TORRADO E MOÍDO</t>
  </si>
  <si>
    <t xml:space="preserve">Produção, Exportação Mundial e Consumo Interno de Café </t>
  </si>
  <si>
    <t>(Principais Países Produtores)</t>
  </si>
  <si>
    <t>CAFÉ - RANKING</t>
  </si>
  <si>
    <t>Produção Mundial - Produtores</t>
  </si>
  <si>
    <t>Países</t>
  </si>
  <si>
    <t>*2014</t>
  </si>
  <si>
    <t>2013</t>
  </si>
  <si>
    <t>2012</t>
  </si>
  <si>
    <t>2010</t>
  </si>
  <si>
    <t xml:space="preserve">Part. (%) </t>
  </si>
  <si>
    <t>*Brasil</t>
  </si>
  <si>
    <t>Vietnan</t>
  </si>
  <si>
    <t>Colômbia</t>
  </si>
  <si>
    <t>Indonésia</t>
  </si>
  <si>
    <t>Etiópia</t>
  </si>
  <si>
    <t>Índia</t>
  </si>
  <si>
    <t>Peru</t>
  </si>
  <si>
    <t>Honduras</t>
  </si>
  <si>
    <t>México</t>
  </si>
  <si>
    <t>Uganda</t>
  </si>
  <si>
    <t>Guatemala</t>
  </si>
  <si>
    <t>Costa do Marfim</t>
  </si>
  <si>
    <t>Nicaragua</t>
  </si>
  <si>
    <t>Costa Rica</t>
  </si>
  <si>
    <t>El Salvador</t>
  </si>
  <si>
    <t>Outros países</t>
  </si>
  <si>
    <t>Fontes: *MAPA/SPAE/CONAB; O.I.C.</t>
  </si>
  <si>
    <t>*Estimativas</t>
  </si>
  <si>
    <t>Exportação Mundial - Produtores</t>
  </si>
  <si>
    <t>Fontes: *MDIC/SECEX; O.I.C.</t>
  </si>
  <si>
    <t>Consumo Interno - Produtores</t>
  </si>
  <si>
    <t>Fontes: *ABIC; O.I.C.</t>
  </si>
  <si>
    <t>Outr. países</t>
  </si>
  <si>
    <t>Fonte: OIC e CONAB</t>
  </si>
  <si>
    <t>Alemanha</t>
  </si>
  <si>
    <t>Itália</t>
  </si>
  <si>
    <t>Belgica</t>
  </si>
  <si>
    <t>Japão</t>
  </si>
  <si>
    <t>Espanha</t>
  </si>
  <si>
    <t>Canadá</t>
  </si>
  <si>
    <t>Reino Unido</t>
  </si>
  <si>
    <t>Suécia</t>
  </si>
  <si>
    <t>Turquia</t>
  </si>
  <si>
    <t>Russia</t>
  </si>
  <si>
    <t>2014</t>
  </si>
  <si>
    <t>Importador</t>
  </si>
  <si>
    <t>PRAÇA</t>
  </si>
  <si>
    <t>Nova York</t>
  </si>
  <si>
    <t>NY</t>
  </si>
  <si>
    <t>LD</t>
  </si>
  <si>
    <t>Otr.</t>
  </si>
  <si>
    <t>UF</t>
  </si>
  <si>
    <t>A &amp; P</t>
  </si>
  <si>
    <t>Cerrado</t>
  </si>
  <si>
    <t>Planalto</t>
  </si>
  <si>
    <t>Atlântico</t>
  </si>
  <si>
    <t>Indicadores</t>
  </si>
  <si>
    <t>2.1. Valor - bilhões/US$</t>
  </si>
  <si>
    <t>2.2. Preço Médio - US$/sc</t>
  </si>
  <si>
    <t>3.1. Per capita - kg/habitante ano</t>
  </si>
  <si>
    <t>4. Estoques Totais (milhões/sc)</t>
  </si>
  <si>
    <t>5. Orçamento Funcafé - R$ milhões</t>
  </si>
  <si>
    <t xml:space="preserve">5.2. Publicidade e Promoção </t>
  </si>
  <si>
    <t>Fonte: Desex</t>
  </si>
  <si>
    <t>Base legal</t>
  </si>
  <si>
    <t>Safra</t>
  </si>
  <si>
    <t>Conilon</t>
  </si>
  <si>
    <t>Tipo</t>
  </si>
  <si>
    <t>Peneira</t>
  </si>
  <si>
    <t>2001/2002</t>
  </si>
  <si>
    <t xml:space="preserve">13 acima </t>
  </si>
  <si>
    <t>(Não houve definição)</t>
  </si>
  <si>
    <t>Decreto nº 4.783, de 17-7-2003</t>
  </si>
  <si>
    <t>2002/2003</t>
  </si>
  <si>
    <t xml:space="preserve">14 acima </t>
  </si>
  <si>
    <t>Decreto nº 5.071, de 7-5-2004</t>
  </si>
  <si>
    <t>2003/2004</t>
  </si>
  <si>
    <t>Decreto nº 5.494, de 20-7-2005</t>
  </si>
  <si>
    <t>2004/2005</t>
  </si>
  <si>
    <t>Decreto nº 5.838, de 10-7-2006</t>
  </si>
  <si>
    <t>2005/2006</t>
  </si>
  <si>
    <t>2006/2007</t>
  </si>
  <si>
    <t>Decreto nº 6.557, de 8-9-2008</t>
  </si>
  <si>
    <t>2007/2008</t>
  </si>
  <si>
    <t>2008/2009</t>
  </si>
  <si>
    <t>Portaria MAPA nº 460, de 19-6-2009</t>
  </si>
  <si>
    <t xml:space="preserve">Portaria MAPA nº 392, de 19-5-2010 </t>
  </si>
  <si>
    <t>A partir da safra 2009/2010</t>
  </si>
  <si>
    <t>Portaria MAPA nº 309, de 17-5-2013</t>
  </si>
  <si>
    <t>mai/13 a mar/14</t>
  </si>
  <si>
    <t>Portaria MAPA nº 478, de 20-5-2014</t>
  </si>
  <si>
    <t>mai/14 a mar/15</t>
  </si>
  <si>
    <t>Preço mínimo (R$ / 60kg)</t>
  </si>
  <si>
    <t>Decreto nº 4.325, de 7-8-2002 (*)</t>
  </si>
  <si>
    <t>(**)</t>
  </si>
  <si>
    <r>
      <t>Portaria MAPA nº 339, de 14-5-2009</t>
    </r>
    <r>
      <rPr>
        <sz val="9"/>
        <rFont val="Arial"/>
        <family val="2"/>
      </rPr>
      <t xml:space="preserve"> (revogada pela Portaria nº 460, de 19-6-2009)</t>
    </r>
  </si>
  <si>
    <t>Preços Mínimos para os cafés Arábica e Conilon</t>
  </si>
  <si>
    <t>(*) Preço mínimo exclusivamente para opções de venda em 2002</t>
  </si>
  <si>
    <t>(**) Tipo 7, com até 150 defeitos</t>
  </si>
  <si>
    <t>(***) Tipo 6, bebida dura para melhor, com até 86 defeitos</t>
  </si>
  <si>
    <t>(***)</t>
  </si>
  <si>
    <t>Decreto nº 6.078, de 10-4-2007</t>
  </si>
  <si>
    <t>Tabela de entrada de dados para planilha e gráficos</t>
  </si>
  <si>
    <t>Sul</t>
  </si>
  <si>
    <t>Triângulo</t>
  </si>
  <si>
    <t>Mata</t>
  </si>
  <si>
    <t>Norte</t>
  </si>
  <si>
    <t>Contratos</t>
  </si>
  <si>
    <t>Recursos</t>
  </si>
  <si>
    <t>Área Financida</t>
  </si>
  <si>
    <t>Nº</t>
  </si>
  <si>
    <t>R$ milhões</t>
  </si>
  <si>
    <t>ÁREA (em hectáres)</t>
  </si>
  <si>
    <t>PRODUÇÃO (em mil sacas)</t>
  </si>
  <si>
    <t>Operações</t>
  </si>
  <si>
    <t>em hectáres</t>
  </si>
  <si>
    <t>CASCA E PELÍCULAS</t>
  </si>
  <si>
    <t>P. MÉDIO</t>
  </si>
  <si>
    <t>TOTAL DAS EXPORTAÇÕES BRASILEIRAS DE CAFÉS</t>
  </si>
  <si>
    <t>CASCAS, PELÍCULAS</t>
  </si>
  <si>
    <t>US$ (MIL)</t>
  </si>
  <si>
    <t>ESTADOS UNIDOS</t>
  </si>
  <si>
    <t>JAPAO</t>
  </si>
  <si>
    <t>CANADA</t>
  </si>
  <si>
    <t>TURQUIA</t>
  </si>
  <si>
    <t>ARABIA SAUDITA</t>
  </si>
  <si>
    <t>INDONESIA</t>
  </si>
  <si>
    <t>ARGENTINA</t>
  </si>
  <si>
    <t>CINGAPURA</t>
  </si>
  <si>
    <t>URUGUAI</t>
  </si>
  <si>
    <t>PARAGUAI</t>
  </si>
  <si>
    <t>BOLIVIA</t>
  </si>
  <si>
    <t>TAIWAN (FORMOSA)</t>
  </si>
  <si>
    <t>COREIA,REP.SUL</t>
  </si>
  <si>
    <t>MEXICO</t>
  </si>
  <si>
    <t>França</t>
  </si>
  <si>
    <t xml:space="preserve"> Câmbio = </t>
  </si>
  <si>
    <t xml:space="preserve"> Dólar/saca   = </t>
  </si>
  <si>
    <t>R$/saca</t>
  </si>
  <si>
    <t xml:space="preserve"> R$/saca </t>
  </si>
  <si>
    <t xml:space="preserve">1. Produção - em milhões/sc </t>
  </si>
  <si>
    <t xml:space="preserve">2. Exportações em - milhões/sc </t>
  </si>
  <si>
    <r>
      <t>7. Participação no Agronegócio</t>
    </r>
    <r>
      <rPr>
        <sz val="10"/>
        <rFont val="Arial"/>
        <family val="2"/>
      </rPr>
      <t xml:space="preserve"> (%)</t>
    </r>
  </si>
  <si>
    <t>VARIAÇÃO RELATIVA (%)</t>
  </si>
  <si>
    <t>Finlândia</t>
  </si>
  <si>
    <t>Portaria MAPA nº 094 de 06-05-2015</t>
  </si>
  <si>
    <t>abr/15 a mar/16</t>
  </si>
  <si>
    <t/>
  </si>
  <si>
    <t xml:space="preserve">Dólar/saca   = </t>
  </si>
  <si>
    <t>Atualizado:</t>
  </si>
  <si>
    <t>SECRETARIA DE POLÍTICA AGRÍCOLA - SPA</t>
  </si>
  <si>
    <t>CEP: 70043-900 - Brasília - DF</t>
  </si>
  <si>
    <t>Telefone: (61) 3218-2812, 3322-0408</t>
  </si>
  <si>
    <t>e-mail: airton.camargo@agricultura.gov.br</t>
  </si>
  <si>
    <t>http://www.agricultura.gov.br/vegetal/cafe/estatisticas</t>
  </si>
  <si>
    <t>Selecione: Café</t>
  </si>
  <si>
    <t>TABELAS E GRÁFICOS</t>
  </si>
  <si>
    <t>Export.</t>
  </si>
  <si>
    <t>US$ mil</t>
  </si>
  <si>
    <t>Sacas mil</t>
  </si>
  <si>
    <t>MINISTÉRIO DA AGRICULTURA, PECUÁRIA E ABASTECIMENTO</t>
  </si>
  <si>
    <t>Elaboração: MAPA/SPA/DCRR</t>
  </si>
  <si>
    <t>(PRINCIPAIS IMPORTADORES)</t>
  </si>
  <si>
    <t>UNIÃO EUROPEIA 28</t>
  </si>
  <si>
    <t>COREIA DO SUL</t>
  </si>
  <si>
    <t>RUSSIA</t>
  </si>
  <si>
    <t>EXPORTAÇÕES BRASILEIRAS DE CAFÉ TORRADO</t>
  </si>
  <si>
    <t>EXPORTAÇÕES BRASILEIRAS DE CAFÉ EXTRATO</t>
  </si>
  <si>
    <t>Última</t>
  </si>
  <si>
    <t>QUANTIDADE</t>
  </si>
  <si>
    <t>Fonte e Elaboração: CONAB</t>
  </si>
  <si>
    <t>Ano</t>
  </si>
  <si>
    <t>ARÁBICA</t>
  </si>
  <si>
    <t>CONILON</t>
  </si>
  <si>
    <t>Produção Total</t>
  </si>
  <si>
    <t>Elaboração e Fonte: Mapa</t>
  </si>
  <si>
    <t xml:space="preserve">BC Tipo 6 Duro </t>
  </si>
  <si>
    <t>***Arábica</t>
  </si>
  <si>
    <t>***Conilon</t>
  </si>
  <si>
    <t>* Conilon</t>
  </si>
  <si>
    <t xml:space="preserve">**Arábica </t>
  </si>
  <si>
    <t>Elaboração: MAPA/SPA</t>
  </si>
  <si>
    <t>Conversão Outs.Estratos, Essencias em sacas de 60 kg: peso liquido*2,6/60</t>
  </si>
  <si>
    <t xml:space="preserve">3. Consumo (em milhões de sacas) </t>
  </si>
  <si>
    <r>
      <t xml:space="preserve">8. IPR pelos produtores - </t>
    </r>
    <r>
      <rPr>
        <sz val="11"/>
        <rFont val="Arial"/>
        <family val="2"/>
      </rPr>
      <t xml:space="preserve">café tipo 6, bebida dura, </t>
    </r>
    <r>
      <rPr>
        <sz val="10"/>
        <rFont val="Arial"/>
        <family val="2"/>
      </rPr>
      <t>CEPEIA/ESALQ (R$/sc)</t>
    </r>
  </si>
  <si>
    <t>Dados para construção da planilha:</t>
  </si>
  <si>
    <t>EXPORTAÇÕES BRASILEIRAS GLOBAIS</t>
  </si>
  <si>
    <t>-</t>
  </si>
  <si>
    <t>Volume: em sacas de 60 kg</t>
  </si>
  <si>
    <t>Evolução (%)</t>
  </si>
  <si>
    <t>mês</t>
  </si>
  <si>
    <t>U$ saca</t>
  </si>
  <si>
    <t>Var.</t>
  </si>
  <si>
    <t>Conversão Outros Estratos, Essencias em sacas de 60 kg: peso liquido*2,6/60</t>
  </si>
  <si>
    <t>Discriminação</t>
  </si>
  <si>
    <t>Custo de Produção</t>
  </si>
  <si>
    <t>Área Total em Produção (ha)</t>
  </si>
  <si>
    <t>Participação do Estado ou Região na área  total (%)</t>
  </si>
  <si>
    <t>Participação do cálculo no Estado ou Região (%)</t>
  </si>
  <si>
    <t>Preço Mercado (R$/saca)</t>
  </si>
  <si>
    <t>Variável (CV)</t>
  </si>
  <si>
    <t>Total (CT)</t>
  </si>
  <si>
    <t>CV</t>
  </si>
  <si>
    <t>CT</t>
  </si>
  <si>
    <t>(R$/ha)</t>
  </si>
  <si>
    <t>(R$/saca)</t>
  </si>
  <si>
    <t>10. PR (Londrina) 30 sacas - Mecanizada.</t>
  </si>
  <si>
    <t>11. SP (Franca) 30 sacas - Mecanizada.</t>
  </si>
  <si>
    <t>13. RO (Rolim de Moura) 25 sacas - Manual</t>
  </si>
  <si>
    <t>14. RO (Ji Paraná) 20 sacas - Manual</t>
  </si>
  <si>
    <t>15. RO (Rolim de Moura) 60 sacas - Mecaniz.</t>
  </si>
  <si>
    <t>(*) - Área abrangida pelo cálculo dos custos</t>
  </si>
  <si>
    <t>Fonte: Publicações da CONAB</t>
  </si>
  <si>
    <t xml:space="preserve">Cerrado  -      9.129 ha -  37,00 sacas/ha </t>
  </si>
  <si>
    <t>Resultado (%)</t>
  </si>
  <si>
    <t>Robusta Total - 432.852 há</t>
  </si>
  <si>
    <t>Arábica Total - 1.497.293 há</t>
  </si>
  <si>
    <t>Área (*) de influência dos cálculos dos custos (ha)</t>
  </si>
  <si>
    <t>Estado (RO)   -   87.657 há - 19,51 sacas</t>
  </si>
  <si>
    <t>Estado (ES)   -  273.701  há - 27,18 sacas (***)</t>
  </si>
  <si>
    <r>
      <t>07. MG (Guaxupé)</t>
    </r>
    <r>
      <rPr>
        <sz val="9"/>
        <rFont val="Arial"/>
        <family val="2"/>
      </rPr>
      <t xml:space="preserve"> - 30 sacas - Semi-mecan.</t>
    </r>
  </si>
  <si>
    <t>Cerrado - Arábica</t>
  </si>
  <si>
    <t>Planalto - Arábica</t>
  </si>
  <si>
    <t>Atlântico - Robusta</t>
  </si>
  <si>
    <t>CAFÉ - BENEFICIADO - ARÁBICA &amp; ROBUSTA</t>
  </si>
  <si>
    <t xml:space="preserve">Zona da Mata - Arábica </t>
  </si>
  <si>
    <t xml:space="preserve">Zona da Mata - Robusta </t>
  </si>
  <si>
    <t>Norte - Arábica</t>
  </si>
  <si>
    <t>Norte - Robusta</t>
  </si>
  <si>
    <t>Triângulo - Arábica</t>
  </si>
  <si>
    <t>Sul - Arábica</t>
  </si>
  <si>
    <t>em hectares</t>
  </si>
  <si>
    <t>em mil sacas</t>
  </si>
  <si>
    <t>Área em Produção</t>
  </si>
  <si>
    <t>Estados e Regiões</t>
  </si>
  <si>
    <t>EQUIVALENCIA EM REAIS</t>
  </si>
  <si>
    <t>Área Cultivada e Custeio</t>
  </si>
  <si>
    <t>Holanda</t>
  </si>
  <si>
    <t>Coréia</t>
  </si>
  <si>
    <t>Principais Países Produtores de Café</t>
  </si>
  <si>
    <t>Principais Países Importadores de Café do Brasil</t>
  </si>
  <si>
    <t>Estatísticas de Produtores &amp; Importadores de Café</t>
  </si>
  <si>
    <t>Em 2015</t>
  </si>
  <si>
    <r>
      <t>6. Part. na Produção Mundial</t>
    </r>
    <r>
      <rPr>
        <sz val="10"/>
        <rFont val="Arial"/>
        <family val="2"/>
      </rPr>
      <t xml:space="preserve"> (%)</t>
    </r>
  </si>
  <si>
    <t>Planilha 01</t>
  </si>
  <si>
    <t>Planilha 02</t>
  </si>
  <si>
    <t>Planilha 03</t>
  </si>
  <si>
    <t>Planilha 04</t>
  </si>
  <si>
    <t>Planilha 05</t>
  </si>
  <si>
    <t>Planilha 06</t>
  </si>
  <si>
    <t>Planilha 07</t>
  </si>
  <si>
    <t>Planilha 08</t>
  </si>
  <si>
    <t>Planilha 09</t>
  </si>
  <si>
    <t>Planilha 10</t>
  </si>
  <si>
    <t>Planilha 11</t>
  </si>
  <si>
    <t>Planilha 14</t>
  </si>
  <si>
    <t>Planilha 15</t>
  </si>
  <si>
    <t>Planilha 16</t>
  </si>
  <si>
    <t>Planilha 17</t>
  </si>
  <si>
    <t>Planilha 18</t>
  </si>
  <si>
    <t>Planilha 19</t>
  </si>
  <si>
    <t>Planilha 20</t>
  </si>
  <si>
    <t>Planilha 21</t>
  </si>
  <si>
    <t>Planilha 22</t>
  </si>
  <si>
    <t>Planilha 23</t>
  </si>
  <si>
    <t>Safra 2015/16 e Safra 2016/17</t>
  </si>
  <si>
    <t>Safra 2014/15 e Safra 2015/16</t>
  </si>
  <si>
    <t>Safra 2013/14 e Safra 2014/15</t>
  </si>
  <si>
    <t>04. Estoques Privados e Públicos de Café no Brasil</t>
  </si>
  <si>
    <t>06. Acompanhamento Semanal de Preços Internos e Externos</t>
  </si>
  <si>
    <t>05. Série Histórica da Produção Nacional de Café - 2001 a 2016</t>
  </si>
  <si>
    <t xml:space="preserve">01. Estatísticas de Produtores &amp; Importadores de Café (produção, exportação e consumo mundial) </t>
  </si>
  <si>
    <t>Esplanada dos Ministérios, Bloco "D", 6º andar sala 644</t>
  </si>
  <si>
    <t>C. Marfim</t>
  </si>
  <si>
    <t>2015 - em milhões de sacas</t>
  </si>
  <si>
    <t>Equador</t>
  </si>
  <si>
    <t>Kenia</t>
  </si>
  <si>
    <t>Produtividade</t>
  </si>
  <si>
    <t xml:space="preserve">Tipo 6 BD </t>
  </si>
  <si>
    <t>CAFÉ - Média Mensal dos Preços Recebidos pelos Produtores - 2014/2015/2016</t>
  </si>
  <si>
    <t>*CEPEA-ESALQ/BM&amp;F; **Boletim de Comércio de Café de Minas Gerais (CCCMG); e ***Boletim do Centro do Comércio de Vitória (CCV); (+)nova fonte e tipo a partir de Setembro/15.</t>
  </si>
  <si>
    <t>2015</t>
  </si>
  <si>
    <t>RANKING POR VALORES DE 2015 e 2014</t>
  </si>
  <si>
    <t>RANKING POR VALORES DE 2016 e 2015</t>
  </si>
  <si>
    <r>
      <rPr>
        <b/>
        <sz val="10"/>
        <rFont val="Arial"/>
        <family val="2"/>
      </rPr>
      <t>Robusta</t>
    </r>
    <r>
      <rPr>
        <sz val="10"/>
        <rFont val="Arial"/>
        <family val="2"/>
      </rPr>
      <t xml:space="preserve"> (sacas/ha)</t>
    </r>
  </si>
  <si>
    <r>
      <rPr>
        <b/>
        <sz val="10"/>
        <rFont val="Arial"/>
        <family val="2"/>
      </rPr>
      <t>Arábica</t>
    </r>
    <r>
      <rPr>
        <sz val="10"/>
        <rFont val="Arial"/>
        <family val="2"/>
      </rPr>
      <t xml:space="preserve"> (sacas/ha)</t>
    </r>
  </si>
  <si>
    <t>*2015</t>
  </si>
  <si>
    <t>R. Sul -  474.611 há - 21,60 sacas</t>
  </si>
  <si>
    <t>(16/15)</t>
  </si>
  <si>
    <t>Acumulado/6 meses</t>
  </si>
  <si>
    <t>Acumulado/12 meses</t>
  </si>
  <si>
    <t>a 2015</t>
  </si>
  <si>
    <t>MALÁSIA</t>
  </si>
  <si>
    <t>SÍRIA</t>
  </si>
  <si>
    <t>LÍBANO</t>
  </si>
  <si>
    <t>(3) Estimativa ABIC</t>
  </si>
  <si>
    <t>(4) Produção Mundial estimada em 143,4</t>
  </si>
  <si>
    <t>Fonte: Bacen - Sicor</t>
  </si>
  <si>
    <t>Programas</t>
  </si>
  <si>
    <t xml:space="preserve">   PRONAMP</t>
  </si>
  <si>
    <t xml:space="preserve">   PRONAF</t>
  </si>
  <si>
    <t xml:space="preserve">   FUNCAFE</t>
  </si>
  <si>
    <t xml:space="preserve">  SEM VINCULOS</t>
  </si>
  <si>
    <t xml:space="preserve">  TOTAL</t>
  </si>
  <si>
    <t>Crédito Agrícola para Café - Custeio - 2015</t>
  </si>
  <si>
    <t>MS</t>
  </si>
  <si>
    <t>Recursos em R$</t>
  </si>
  <si>
    <t>Área Cultivada e Produção Brasileira - Safra 2015/16 e 2016/17</t>
  </si>
  <si>
    <t>SUB-TOTAL</t>
  </si>
  <si>
    <t>BOLÍVIA</t>
  </si>
  <si>
    <t>EMIRADOS ÁRABES</t>
  </si>
  <si>
    <t>CHILE</t>
  </si>
  <si>
    <t>CHINA</t>
  </si>
  <si>
    <t>ANGOLA</t>
  </si>
  <si>
    <t>BRASIL</t>
  </si>
  <si>
    <t>Total Geral</t>
  </si>
  <si>
    <t>MAURÍCIO</t>
  </si>
  <si>
    <t>Planilha 12</t>
  </si>
  <si>
    <t>Planilha 13</t>
  </si>
  <si>
    <t>INFORME ESTATÍSTICO DO CAFÉ</t>
  </si>
  <si>
    <t>Índice de preços CEPEA-ESALQ</t>
  </si>
  <si>
    <r>
      <t>05. MG (Guaxupé)</t>
    </r>
    <r>
      <rPr>
        <sz val="9"/>
        <color indexed="10"/>
        <rFont val="Arial"/>
        <family val="2"/>
      </rPr>
      <t xml:space="preserve"> - 30 sacas - Manual - Mont.</t>
    </r>
  </si>
  <si>
    <t>12. ES (Venda Nova) - 30 sacas</t>
  </si>
  <si>
    <t>CUSTO DE PRODUÇÃO x PREÇOS MÉDIOS DE MERCADO - Safra 2015/2016</t>
  </si>
  <si>
    <t xml:space="preserve">Planalto  -  101.921 ha -   8,08 sacas/ha </t>
  </si>
  <si>
    <t>Atlântico  -    35.228 ha - 33,60 sacas/ha(**)</t>
  </si>
  <si>
    <t>Estado (GO)   -    6.175 ha - 36,81 sacas</t>
  </si>
  <si>
    <t>R. Cerrado    -  170.634 ha - 24,80 sacas</t>
  </si>
  <si>
    <t>R. Zona da Mata - 288.336 ha - 23,25 sacas</t>
  </si>
  <si>
    <t>Estado (MG) - 967.456  ha - 22,59 sacas (**)</t>
  </si>
  <si>
    <t>Estado (PR)   -    44.500  ha - 27,19 sacas</t>
  </si>
  <si>
    <t>Estado (SP)   -   203.490  ha - 18,85 sacas</t>
  </si>
  <si>
    <t>Estado (ES)   -   156.601 ha - 18,76 sacas</t>
  </si>
  <si>
    <t>(**) - café Robusta (conilon), na BA = 35.228 ha e MG = 13.389 ha (descontados)</t>
  </si>
  <si>
    <t>(***) - café Arábica, no ES = 156.601 ha (descontados)</t>
  </si>
  <si>
    <t>Estado (BA)   - 143.939  ha - 16,04 sacas</t>
  </si>
  <si>
    <t>NORUEGA</t>
  </si>
  <si>
    <t>MALASIA</t>
  </si>
  <si>
    <t>PERU</t>
  </si>
  <si>
    <t>SÉRVIA</t>
  </si>
  <si>
    <t>MIANMAR</t>
  </si>
  <si>
    <t>abr/16 a mar/17</t>
  </si>
  <si>
    <t>Portaria MAPA nº 092 de 10-05-2016</t>
  </si>
  <si>
    <t>Fonte e Elaboração: CONAB (segunda divulgação - maio de 2016)</t>
  </si>
  <si>
    <t>Ministro: BLAIRO MAGGI</t>
  </si>
  <si>
    <t>Fonte: Conab - Levantamentos de Dez/2015 e Mai/2016</t>
  </si>
  <si>
    <t xml:space="preserve">     Fonte: Conab - Incluindo divulgação de MAI/2016 - Segunda Estimativa</t>
  </si>
  <si>
    <t>Secretário-Executivo: EUMAR NOVACKI</t>
  </si>
  <si>
    <t>Secretário da SPA: NERI GELLER</t>
  </si>
  <si>
    <t>Anos de 2015 e 2016</t>
  </si>
  <si>
    <t>SAFRA 2016</t>
  </si>
  <si>
    <t>Jan</t>
  </si>
  <si>
    <t>Fev</t>
  </si>
  <si>
    <t>Mar</t>
  </si>
  <si>
    <t>Abr</t>
  </si>
  <si>
    <t>Mai</t>
  </si>
  <si>
    <t>SAFRA 2015</t>
  </si>
  <si>
    <t>Planilha 24</t>
  </si>
  <si>
    <t xml:space="preserve">08. Cotação Mensal dos Preços de Cafés Recebidos pelos Produtores  </t>
  </si>
  <si>
    <t>09. Exportação do Agronegócio Brasileiro - Ranking dos Principais Produtos - 2015</t>
  </si>
  <si>
    <t>Planilha 25</t>
  </si>
  <si>
    <t>Evolução Mensal das Exportações Brasileira de Café</t>
  </si>
  <si>
    <t>13. Evolução Mensal das Exportações Brasileiras - 2015 e 2016</t>
  </si>
  <si>
    <t>14. Exportações Brasileiras de Café Verde</t>
  </si>
  <si>
    <t>15. Exportações Brasileiras de Café Solúvel</t>
  </si>
  <si>
    <t>16. Exportações Brasileiras de Café Torrado e Moído</t>
  </si>
  <si>
    <t>17. Exportações Brasileiras de Outros Extratos, Concentrado de Café</t>
  </si>
  <si>
    <t>18. Total das Exportações Brasileiras de Cafés</t>
  </si>
  <si>
    <t>19. Total das Exportações Brasileiras por Destinos - União Européia e Princiais Importadores</t>
  </si>
  <si>
    <t>20. Custos de Produção</t>
  </si>
  <si>
    <t>21. Preços Mínimos</t>
  </si>
  <si>
    <t>23. Estimativa da Safra - 2015</t>
  </si>
  <si>
    <t>24. Estimativa da Safra - 2014</t>
  </si>
  <si>
    <t xml:space="preserve">25. Produção, Exportação e Consumo Mundial de Café (RANKING) </t>
  </si>
  <si>
    <t>22. Estimativa da Safra - 2016</t>
  </si>
  <si>
    <t>(1) Com base no 2ª Estimativa da Safra de Café da CONAB - Mai/16</t>
  </si>
  <si>
    <t>% no mês</t>
  </si>
  <si>
    <t>Evolução</t>
  </si>
  <si>
    <t>Fax: (61) 3322-0337</t>
  </si>
  <si>
    <t>MOÍDO</t>
  </si>
  <si>
    <t>EXTRATOS</t>
  </si>
  <si>
    <t>CASCA</t>
  </si>
  <si>
    <t>CANADÁ</t>
  </si>
  <si>
    <t xml:space="preserve">Coordenador: Hugo Borges Rodrigues </t>
  </si>
  <si>
    <t>Elaboração: Airton Camargo Pacheco da Silva</t>
  </si>
  <si>
    <t>airton.camargo@agricultura.gov.br</t>
  </si>
  <si>
    <t>Coordenação Geral de Riscos Agropecuários</t>
  </si>
  <si>
    <t>Diretor do DGRRE: VITOR AUGUSTO OZAKI</t>
  </si>
  <si>
    <t>DEPARTAMENTO DE GESTÃO DE RISCOS E RECURSOS ECONÔMICOS - DGRRE</t>
  </si>
  <si>
    <t>10. Exportação do Agronegócio Brasileiro - Ranking dos Principais Produtos - Comparativo Acumulado 2015 e 2016</t>
  </si>
  <si>
    <t xml:space="preserve">03. Indicadores de Desempenho da Cafeicultura Brasileira - 2007 a 2016  </t>
  </si>
  <si>
    <t>02. Área cultivada e Programas de Financiamento da Safra de Café</t>
  </si>
  <si>
    <t>07. Evolução mensal dos preços internos do café Arábica e Robusta</t>
  </si>
  <si>
    <t>12. Exportações Brasileiras de Cafés - 2015 e 2016</t>
  </si>
  <si>
    <t>11. Importações Brasileiras de Cafés - 2013 a 2016.</t>
  </si>
  <si>
    <t>US$ (cents/lp)</t>
  </si>
  <si>
    <t>Ano 17.</t>
  </si>
  <si>
    <t>EVOLUÇÃO DOS PREÇOS AO PRODUTOR - Café Arábica (tipo 6 bc)</t>
  </si>
  <si>
    <t>EVOLUÇÃO DOS PREÇOS AO PRODUTOR - Café Robusta (tipo 7 bc)</t>
  </si>
  <si>
    <t>Estoque Inicial</t>
  </si>
  <si>
    <t>Importação</t>
  </si>
  <si>
    <t>Oferta Total</t>
  </si>
  <si>
    <t>Estoque Final</t>
  </si>
  <si>
    <t>Diferença</t>
  </si>
  <si>
    <t>Desvio %</t>
  </si>
  <si>
    <t>2009/2010</t>
  </si>
  <si>
    <t>2010/2011</t>
  </si>
  <si>
    <t>2012/2013</t>
  </si>
  <si>
    <t>2013/2014</t>
  </si>
  <si>
    <t>2014/2015</t>
  </si>
  <si>
    <t>2015/2016</t>
  </si>
  <si>
    <t>2016/2017</t>
  </si>
  <si>
    <t>Estoque Final = Oferta Total - (Consumo + Exportação))</t>
  </si>
  <si>
    <t>Desvio = percentual do estoque que faltou para ser igual ao estoque levantado.</t>
  </si>
  <si>
    <t>Estoque Inicial = levantamento da Conab para o período safra.</t>
  </si>
  <si>
    <t>Diferença = Estoque Final - Estoque Inicial (levantado pela Conab) para a proxima safra</t>
  </si>
  <si>
    <t>Elaboração: SPA/DGRRE</t>
  </si>
  <si>
    <t>Quadro Demonstrativo de Oferta e Demanda de Café</t>
  </si>
  <si>
    <t>2011/2012</t>
  </si>
  <si>
    <t>Agosto de 2016</t>
  </si>
  <si>
    <t>RESUMO DE AGOSTO - 2016</t>
  </si>
  <si>
    <t xml:space="preserve">        As vendas dos estoques governamentais permanecem ocorrendo conforme o programado e neste mês de agosto foram comercializadas, via leilão eletrônico da Conab, o volume de 118.265 sacas da safra 2009/2010 ou 87% do quantitativo ofertado, ao preço médio de R$ 425,53 por saca. Com esta última venda restam agora nos armazéns da Companhia 1,1 milhões de sacas que irão suprir próximos leilões. </t>
  </si>
  <si>
    <t>16. RO (Nova Brasilândia) 70 sacas - Irrigado</t>
  </si>
  <si>
    <t>17. RO (Cacoal) 65 sacas - Irrigado e adensado</t>
  </si>
  <si>
    <t>18. ES (Pinheiros) 60 sacas - Mecanizada</t>
  </si>
  <si>
    <t>19. ES (Pinheiros) 60 sacas - a. tec - semi-adensado</t>
  </si>
  <si>
    <r>
      <t>06. MG</t>
    </r>
    <r>
      <rPr>
        <sz val="9"/>
        <color indexed="30"/>
        <rFont val="Arial"/>
        <family val="2"/>
      </rPr>
      <t xml:space="preserve"> (Guaxupé) - 30 sacas - Mecanizada.</t>
    </r>
  </si>
  <si>
    <r>
      <t>01. BA</t>
    </r>
    <r>
      <rPr>
        <sz val="9"/>
        <color indexed="30"/>
        <rFont val="Arial"/>
        <family val="2"/>
      </rPr>
      <t xml:space="preserve"> (Luiz Eduardo) - 50 sacas - mec. Irrigado</t>
    </r>
  </si>
  <si>
    <r>
      <t>08. MG (Patrocínio) -</t>
    </r>
    <r>
      <rPr>
        <sz val="9"/>
        <color indexed="30"/>
        <rFont val="Arial"/>
        <family val="2"/>
      </rPr>
      <t xml:space="preserve"> 30 sacas - Semi-mecaniz.</t>
    </r>
  </si>
  <si>
    <r>
      <t>04. MG (S. S. do Paraíso)</t>
    </r>
    <r>
      <rPr>
        <sz val="9"/>
        <color indexed="30"/>
        <rFont val="Arial"/>
        <family val="2"/>
      </rPr>
      <t xml:space="preserve"> - 30 sacas - Semi-mecanizada 30%</t>
    </r>
  </si>
  <si>
    <r>
      <t>03. MG (S. S. do Paraíso) -</t>
    </r>
    <r>
      <rPr>
        <sz val="9"/>
        <color indexed="30"/>
        <rFont val="Arial"/>
        <family val="2"/>
      </rPr>
      <t xml:space="preserve"> 30 sacas - Mecanizada</t>
    </r>
  </si>
  <si>
    <r>
      <t>09. MG (Manhuaçú) -</t>
    </r>
    <r>
      <rPr>
        <sz val="9"/>
        <color indexed="10"/>
        <rFont val="Arial"/>
        <family val="2"/>
      </rPr>
      <t xml:space="preserve"> 35 sacas - Média Tec.</t>
    </r>
  </si>
  <si>
    <r>
      <t xml:space="preserve">Custos a preços de abril/2014 - </t>
    </r>
    <r>
      <rPr>
        <sz val="10"/>
        <color indexed="10"/>
        <rFont val="Arial"/>
        <family val="2"/>
      </rPr>
      <t xml:space="preserve">novembro/2015 - </t>
    </r>
    <r>
      <rPr>
        <sz val="10"/>
        <color indexed="30"/>
        <rFont val="Arial"/>
        <family val="2"/>
      </rPr>
      <t>Abril de 2016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&amp; Preços Médios Pagos ao Produtor em Agosto de 2016.</t>
    </r>
  </si>
  <si>
    <r>
      <t>02. GO (Cristalina)</t>
    </r>
    <r>
      <rPr>
        <sz val="9"/>
        <color indexed="40"/>
        <rFont val="Arial"/>
        <family val="2"/>
      </rPr>
      <t xml:space="preserve"> - 55 sacas - Mec. e Irrigado</t>
    </r>
  </si>
  <si>
    <t>VALOR EM US$ (milhões)</t>
  </si>
  <si>
    <t>QUANTIDADE EM MIL SACAS(60kg)</t>
  </si>
  <si>
    <t>Jun</t>
  </si>
  <si>
    <t>Jul</t>
  </si>
  <si>
    <t>Ago</t>
  </si>
  <si>
    <t>Afo</t>
  </si>
  <si>
    <t xml:space="preserve">Em quantidade por 1.000 saca de 60 kg e valores em milhões de US$ </t>
  </si>
  <si>
    <t>22 a 26/08</t>
  </si>
  <si>
    <t>01 a 05/08</t>
  </si>
  <si>
    <t>Jan a Ago/2016</t>
  </si>
  <si>
    <t>Jan a Ago/2015</t>
  </si>
  <si>
    <t>Em 2016 - até Agosto</t>
  </si>
  <si>
    <t>Estoques privados pesquisados pela CONAB - posição de 31.03.16; e estoques público - posição de Ago/16.</t>
  </si>
  <si>
    <t>Jan a Ago de 2016</t>
  </si>
  <si>
    <t>Jan a Ago de 2015</t>
  </si>
  <si>
    <t xml:space="preserve">        Como todas as demais plantações que, naturalmente, dependem fundamentalmente das boas condições climáticas para o seu completo desenvolvimento, o café arábica da safra 2017/2018 iniciou o seu ciclo enfrentado dificuldades, devido a estiagens e baixas temperaturas em suas principais regiões produtoras de Minas e São Paulo. No tocante ao conilon, a recuperação dos cafezais do Espírito Santo e Rondônia estão dependendo do desempenho das chuvas que ainda não chegaram em volumes suficientes, para cobrir o déficit hídrico em que se encontram, além de estar sendo prejudicados pelas altas temperaturas que se verificam nos dois estados. A regularização hídrica é necessária não somente para manutenção das plantas produtivas no vingamento das floradas que foram antecipadas, como também para a re-brotação das plantas que sofreram algum tipo de podas, sobretudo no Espírito Santo, devido às drásticas estiagens dos anos anteriores.  </t>
  </si>
  <si>
    <t xml:space="preserve">        No caso da safra 2016/2017, que se encontra em fase de conclusão da colheita, atualmente estimada em 49,7 milhões de sacas, apenas os novos levantamentos a serem realizados pela Conab poderão constatar o resultado que os beneficiadores do grão encontraram, lembrando que a mesma passou por intemperíes climáticas drásticas, ora por falta de chuvas no seu desenvolvimento e ora por excesso de chuvas no início da colheita, tudo isso contribuindo para a depreciação da qualidade dos grãos e resultando em  baixo rendimento.</t>
  </si>
  <si>
    <t>UCRÂNIA</t>
  </si>
  <si>
    <t>INDONÉSIA</t>
  </si>
  <si>
    <t>MÉXICO</t>
  </si>
  <si>
    <t>CUBA</t>
  </si>
  <si>
    <t>GUINÉ EQUATORIAL</t>
  </si>
  <si>
    <t xml:space="preserve">      No mercado interno, depois de ter atingido o maior preço do ano em julho, o arábica registrou queda de 3,9% somente neste mês de agosto, acumulando uma redução de -2,5% no ano. Ao contrário, o conilon que continua com preços ascendentes, aumentou em 3,1% no mês, acumulando uma valorização de 8,7% neste ano. Nos últimos 12 meses o arábica teve aumento de 6,9% e o conilon aumentou 30,2%.   </t>
  </si>
  <si>
    <t xml:space="preserve">        Neste mês de agosto o volume total exportado de café foi muito semelhante ao do mesmo mês do ano anterior, ano de recorde de comercialização, experimentando uma recuperação de 43% em relação ao mês anterior que, adicionado a um preço médio que passou de 156 para 161 dólares a saca, atingiu a maior receita do ano, chegando a US$ 476.882 mil, um expressivo aumento de 47,6% em relação ao mês anterior e 23% a mais que a receita média obtida neste ano.</t>
  </si>
  <si>
    <r>
      <t>49,668</t>
    </r>
    <r>
      <rPr>
        <vertAlign val="superscript"/>
        <sz val="11"/>
        <rFont val="Arial"/>
        <family val="2"/>
      </rPr>
      <t>(1)</t>
    </r>
  </si>
  <si>
    <t>(2) Arábica mês de Ago/16</t>
  </si>
  <si>
    <r>
      <t>20,5</t>
    </r>
    <r>
      <rPr>
        <vertAlign val="superscript"/>
        <sz val="11"/>
        <rFont val="Arial"/>
        <family val="2"/>
      </rPr>
      <t>(3)</t>
    </r>
  </si>
  <si>
    <t>(5) Estoques total em 31/03/16 - Conab</t>
  </si>
  <si>
    <r>
      <t>14,7</t>
    </r>
    <r>
      <rPr>
        <vertAlign val="superscript"/>
        <sz val="11"/>
        <rFont val="Arial"/>
        <family val="2"/>
      </rPr>
      <t>(5)</t>
    </r>
  </si>
  <si>
    <r>
      <t>34,64</t>
    </r>
    <r>
      <rPr>
        <vertAlign val="superscript"/>
        <sz val="11"/>
        <rFont val="Arial"/>
        <family val="2"/>
      </rPr>
      <t>(4)</t>
    </r>
  </si>
  <si>
    <r>
      <t>478,90</t>
    </r>
    <r>
      <rPr>
        <vertAlign val="superscript"/>
        <sz val="11"/>
        <rFont val="Arial"/>
        <family val="2"/>
      </rPr>
      <t>(2)</t>
    </r>
  </si>
  <si>
    <r>
      <t>5,3</t>
    </r>
    <r>
      <rPr>
        <vertAlign val="superscript"/>
        <sz val="11"/>
        <rFont val="Arial"/>
        <family val="2"/>
      </rPr>
      <t>(2)</t>
    </r>
  </si>
  <si>
    <t>Bélgica</t>
  </si>
  <si>
    <t>Argentina</t>
  </si>
  <si>
    <t>Coréia do Sul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</si>
</sst>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#,##0.0"/>
    <numFmt numFmtId="168" formatCode="_(* #,##0_);_(* \(#,##0\);_(* &quot;-&quot;??_);_(@_)"/>
    <numFmt numFmtId="169" formatCode="dd/mm/yy"/>
    <numFmt numFmtId="170" formatCode="_-* #,##0_-;\-* #,##0_-;_-* &quot;-&quot;??_-;_-@_-"/>
    <numFmt numFmtId="171" formatCode="0.0%"/>
    <numFmt numFmtId="172" formatCode="#,##0;[Red]\-#,##0;_(* &quot;---&quot;_);_(@_)"/>
    <numFmt numFmtId="173" formatCode="_(* #,##0_);_(* \(#,##0\);_(* \-?_);_(@_)"/>
    <numFmt numFmtId="174" formatCode="#,##0.00\ _$;\-#,##0.00\ _$"/>
    <numFmt numFmtId="175" formatCode="_(* #,##0.0_);_(* \(#,##0.0\);_(* \-?_);_(@_)"/>
    <numFmt numFmtId="176" formatCode="_(* #,##0.0_);_(* \(#,##0.0\);_(* &quot;-&quot;_);_(@_)"/>
    <numFmt numFmtId="177" formatCode="d/m/yy"/>
    <numFmt numFmtId="178" formatCode="_(* #,##0_);_(* \(#,##0\);_(* &quot;-&quot;_);_(@_)"/>
    <numFmt numFmtId="179" formatCode="_(* #,##0.0000_);_(* \(#,##0.0000\);_(* &quot;-&quot;??_);_(@_)"/>
    <numFmt numFmtId="180" formatCode="\ #,##0;\-\ #,##0"/>
  </numFmts>
  <fonts count="1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Black"/>
      <family val="2"/>
    </font>
    <font>
      <b/>
      <sz val="7.5"/>
      <name val="Arial"/>
      <family val="2"/>
    </font>
    <font>
      <b/>
      <sz val="10"/>
      <name val="Palatino Linotype"/>
      <family val="1"/>
    </font>
    <font>
      <b/>
      <sz val="9"/>
      <name val="Palatino Linotype"/>
      <family val="1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b/>
      <sz val="14"/>
      <color indexed="10"/>
      <name val="Arial"/>
      <family val="2"/>
    </font>
    <font>
      <u val="single"/>
      <sz val="7.5"/>
      <color indexed="12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0"/>
      <name val="Arial"/>
      <family val="2"/>
    </font>
    <font>
      <sz val="12"/>
      <color indexed="56"/>
      <name val="Arial"/>
      <family val="2"/>
    </font>
    <font>
      <sz val="9"/>
      <color indexed="10"/>
      <name val="Arial"/>
      <family val="2"/>
    </font>
    <font>
      <sz val="10"/>
      <color indexed="6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62"/>
      <name val="Arial"/>
      <family val="2"/>
    </font>
    <font>
      <sz val="10"/>
      <color indexed="30"/>
      <name val="Arial Narrow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sz val="9"/>
      <color indexed="30"/>
      <name val="Arial"/>
      <family val="2"/>
    </font>
    <font>
      <sz val="9"/>
      <color indexed="40"/>
      <name val="Arial"/>
      <family val="2"/>
    </font>
    <font>
      <sz val="9"/>
      <color indexed="63"/>
      <name val="Arial"/>
      <family val="2"/>
    </font>
    <font>
      <vertAlign val="superscript"/>
      <sz val="11"/>
      <name val="Arial"/>
      <family val="2"/>
    </font>
    <font>
      <sz val="11"/>
      <color indexed="30"/>
      <name val="Calibri"/>
      <family val="2"/>
    </font>
    <font>
      <sz val="12"/>
      <color indexed="30"/>
      <name val="Calibri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5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4"/>
      <color rgb="FFFF0000"/>
      <name val="Arial"/>
      <family val="2"/>
    </font>
    <font>
      <sz val="10"/>
      <color rgb="FFC00000"/>
      <name val="Arial"/>
      <family val="2"/>
    </font>
    <font>
      <sz val="12"/>
      <color theme="3"/>
      <name val="Arial"/>
      <family val="2"/>
    </font>
    <font>
      <sz val="10"/>
      <color theme="4"/>
      <name val="Arial"/>
      <family val="2"/>
    </font>
    <font>
      <sz val="8"/>
      <color theme="4"/>
      <name val="Arial"/>
      <family val="2"/>
    </font>
    <font>
      <sz val="10"/>
      <color rgb="FF0070C0"/>
      <name val="Arial Narrow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sz val="11"/>
      <color rgb="FF0070C0"/>
      <name val="Calibri"/>
      <family val="2"/>
    </font>
    <font>
      <sz val="12"/>
      <color rgb="FF0070C0"/>
      <name val="Calibri"/>
      <family val="2"/>
    </font>
    <font>
      <sz val="10"/>
      <color rgb="FF002060"/>
      <name val="Arial"/>
      <family val="2"/>
    </font>
    <font>
      <sz val="11"/>
      <color rgb="FF00206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lightGray">
        <fgColor indexed="50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>
        <color indexed="8"/>
      </right>
      <top/>
      <bottom style="medium"/>
    </border>
    <border>
      <left style="medium"/>
      <right/>
      <top/>
      <bottom style="medium"/>
    </border>
    <border>
      <left style="thin">
        <color indexed="8"/>
      </left>
      <right/>
      <top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/>
      <right style="thin"/>
      <top style="thin"/>
      <bottom style="thin">
        <color indexed="42"/>
      </bottom>
    </border>
    <border>
      <left style="thin"/>
      <right style="thin"/>
      <top style="thin">
        <color indexed="42"/>
      </top>
      <bottom style="thin">
        <color indexed="42"/>
      </bottom>
    </border>
    <border>
      <left style="thin"/>
      <right style="thin"/>
      <top style="thin">
        <color indexed="42"/>
      </top>
      <bottom style="thin"/>
    </border>
    <border>
      <left style="thin"/>
      <right style="thin">
        <color indexed="42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0" applyNumberFormat="0" applyBorder="0" applyAlignment="0" applyProtection="0"/>
    <xf numFmtId="0" fontId="102" fillId="21" borderId="1" applyNumberFormat="0" applyAlignment="0" applyProtection="0"/>
    <xf numFmtId="0" fontId="103" fillId="22" borderId="2" applyNumberFormat="0" applyAlignment="0" applyProtection="0"/>
    <xf numFmtId="0" fontId="104" fillId="0" borderId="3" applyNumberFormat="0" applyFill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5" fillId="29" borderId="1" applyNumberForma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8" fillId="21" borderId="5" applyNumberFormat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170" fontId="0" fillId="0" borderId="10" xfId="61" applyNumberFormat="1" applyFont="1" applyBorder="1" applyAlignment="1">
      <alignment/>
    </xf>
    <xf numFmtId="170" fontId="0" fillId="0" borderId="11" xfId="61" applyNumberFormat="1" applyFont="1" applyBorder="1" applyAlignment="1">
      <alignment/>
    </xf>
    <xf numFmtId="170" fontId="0" fillId="0" borderId="10" xfId="7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18" fillId="34" borderId="11" xfId="55" applyNumberFormat="1" applyFont="1" applyFill="1" applyBorder="1" applyAlignment="1">
      <alignment horizontal="center" vertical="center" wrapText="1"/>
      <protection/>
    </xf>
    <xf numFmtId="49" fontId="18" fillId="34" borderId="10" xfId="55" applyNumberFormat="1" applyFont="1" applyFill="1" applyBorder="1" applyAlignment="1">
      <alignment horizontal="center" vertical="center" wrapText="1"/>
      <protection/>
    </xf>
    <xf numFmtId="49" fontId="24" fillId="34" borderId="12" xfId="56" applyNumberFormat="1" applyFont="1" applyFill="1" applyBorder="1" applyAlignment="1">
      <alignment horizontal="left" vertical="center" indent="1"/>
      <protection/>
    </xf>
    <xf numFmtId="49" fontId="24" fillId="34" borderId="10" xfId="56" applyNumberFormat="1" applyFont="1" applyFill="1" applyBorder="1" applyAlignment="1">
      <alignment horizontal="left" vertical="center" indent="1"/>
      <protection/>
    </xf>
    <xf numFmtId="168" fontId="0" fillId="0" borderId="12" xfId="70" applyNumberFormat="1" applyFont="1" applyBorder="1" applyAlignment="1">
      <alignment horizontal="left" vertical="center"/>
    </xf>
    <xf numFmtId="168" fontId="0" fillId="0" borderId="10" xfId="7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168" fontId="0" fillId="0" borderId="12" xfId="70" applyNumberFormat="1" applyFont="1" applyBorder="1" applyAlignment="1">
      <alignment/>
    </xf>
    <xf numFmtId="168" fontId="0" fillId="0" borderId="10" xfId="70" applyNumberFormat="1" applyFont="1" applyBorder="1" applyAlignment="1">
      <alignment/>
    </xf>
    <xf numFmtId="168" fontId="0" fillId="0" borderId="12" xfId="7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8" fontId="0" fillId="33" borderId="10" xfId="70" applyNumberFormat="1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168" fontId="0" fillId="33" borderId="10" xfId="7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35" borderId="13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168" fontId="0" fillId="0" borderId="14" xfId="70" applyNumberFormat="1" applyFont="1" applyFill="1" applyBorder="1" applyAlignment="1">
      <alignment/>
    </xf>
    <xf numFmtId="164" fontId="0" fillId="0" borderId="15" xfId="70" applyNumberFormat="1" applyFont="1" applyFill="1" applyBorder="1" applyAlignment="1">
      <alignment/>
    </xf>
    <xf numFmtId="164" fontId="0" fillId="0" borderId="0" xfId="7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8" fontId="0" fillId="0" borderId="16" xfId="70" applyNumberFormat="1" applyFont="1" applyFill="1" applyBorder="1" applyAlignment="1">
      <alignment/>
    </xf>
    <xf numFmtId="168" fontId="0" fillId="0" borderId="17" xfId="70" applyNumberFormat="1" applyFont="1" applyFill="1" applyBorder="1" applyAlignment="1">
      <alignment/>
    </xf>
    <xf numFmtId="164" fontId="0" fillId="0" borderId="18" xfId="70" applyNumberFormat="1" applyFont="1" applyFill="1" applyBorder="1" applyAlignment="1">
      <alignment/>
    </xf>
    <xf numFmtId="164" fontId="0" fillId="0" borderId="19" xfId="7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18" fillId="35" borderId="14" xfId="0" applyFont="1" applyFill="1" applyBorder="1" applyAlignment="1">
      <alignment horizontal="center" vertical="center"/>
    </xf>
    <xf numFmtId="164" fontId="0" fillId="0" borderId="20" xfId="70" applyNumberFormat="1" applyFont="1" applyFill="1" applyBorder="1" applyAlignment="1">
      <alignment/>
    </xf>
    <xf numFmtId="164" fontId="0" fillId="0" borderId="21" xfId="70" applyNumberFormat="1" applyFont="1" applyFill="1" applyBorder="1" applyAlignment="1">
      <alignment/>
    </xf>
    <xf numFmtId="168" fontId="0" fillId="0" borderId="16" xfId="7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166" fontId="4" fillId="0" borderId="0" xfId="70" applyNumberFormat="1" applyFont="1" applyFill="1" applyBorder="1" applyAlignment="1">
      <alignment/>
    </xf>
    <xf numFmtId="0" fontId="15" fillId="36" borderId="13" xfId="0" applyFont="1" applyFill="1" applyBorder="1" applyAlignment="1">
      <alignment horizontal="center"/>
    </xf>
    <xf numFmtId="0" fontId="14" fillId="36" borderId="22" xfId="0" applyFont="1" applyFill="1" applyBorder="1" applyAlignment="1">
      <alignment/>
    </xf>
    <xf numFmtId="0" fontId="14" fillId="36" borderId="13" xfId="0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9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15" xfId="0" applyFill="1" applyBorder="1" applyAlignment="1">
      <alignment/>
    </xf>
    <xf numFmtId="0" fontId="16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14" fillId="16" borderId="14" xfId="0" applyFont="1" applyFill="1" applyBorder="1" applyAlignment="1">
      <alignment/>
    </xf>
    <xf numFmtId="0" fontId="15" fillId="16" borderId="20" xfId="0" applyFont="1" applyFill="1" applyBorder="1" applyAlignment="1">
      <alignment/>
    </xf>
    <xf numFmtId="0" fontId="15" fillId="16" borderId="17" xfId="0" applyFont="1" applyFill="1" applyBorder="1" applyAlignment="1">
      <alignment/>
    </xf>
    <xf numFmtId="0" fontId="15" fillId="16" borderId="19" xfId="0" applyFont="1" applyFill="1" applyBorder="1" applyAlignment="1">
      <alignment/>
    </xf>
    <xf numFmtId="0" fontId="15" fillId="16" borderId="18" xfId="0" applyFont="1" applyFill="1" applyBorder="1" applyAlignment="1">
      <alignment/>
    </xf>
    <xf numFmtId="0" fontId="15" fillId="16" borderId="20" xfId="0" applyFont="1" applyFill="1" applyBorder="1" applyAlignment="1">
      <alignment horizontal="center"/>
    </xf>
    <xf numFmtId="0" fontId="15" fillId="16" borderId="13" xfId="0" applyFont="1" applyFill="1" applyBorder="1" applyAlignment="1">
      <alignment horizontal="center"/>
    </xf>
    <xf numFmtId="0" fontId="15" fillId="16" borderId="15" xfId="0" applyFont="1" applyFill="1" applyBorder="1" applyAlignment="1">
      <alignment horizontal="center"/>
    </xf>
    <xf numFmtId="0" fontId="15" fillId="16" borderId="23" xfId="0" applyFont="1" applyFill="1" applyBorder="1" applyAlignment="1">
      <alignment horizontal="center"/>
    </xf>
    <xf numFmtId="0" fontId="15" fillId="16" borderId="18" xfId="0" applyFont="1" applyFill="1" applyBorder="1" applyAlignment="1">
      <alignment horizontal="center"/>
    </xf>
    <xf numFmtId="0" fontId="15" fillId="16" borderId="22" xfId="0" applyFont="1" applyFill="1" applyBorder="1" applyAlignment="1">
      <alignment/>
    </xf>
    <xf numFmtId="0" fontId="14" fillId="16" borderId="17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14" fillId="16" borderId="22" xfId="0" applyFont="1" applyFill="1" applyBorder="1" applyAlignment="1">
      <alignment/>
    </xf>
    <xf numFmtId="0" fontId="15" fillId="16" borderId="22" xfId="0" applyFont="1" applyFill="1" applyBorder="1" applyAlignment="1">
      <alignment horizontal="center"/>
    </xf>
    <xf numFmtId="164" fontId="15" fillId="16" borderId="22" xfId="70" applyFont="1" applyFill="1" applyBorder="1" applyAlignment="1">
      <alignment/>
    </xf>
    <xf numFmtId="164" fontId="15" fillId="16" borderId="22" xfId="70" applyNumberFormat="1" applyFont="1" applyFill="1" applyBorder="1" applyAlignment="1">
      <alignment/>
    </xf>
    <xf numFmtId="164" fontId="15" fillId="16" borderId="22" xfId="70" applyNumberFormat="1" applyFont="1" applyFill="1" applyBorder="1" applyAlignment="1">
      <alignment vertical="center"/>
    </xf>
    <xf numFmtId="164" fontId="14" fillId="16" borderId="15" xfId="70" applyFont="1" applyFill="1" applyBorder="1" applyAlignment="1">
      <alignment vertical="center"/>
    </xf>
    <xf numFmtId="0" fontId="15" fillId="16" borderId="23" xfId="0" applyFont="1" applyFill="1" applyBorder="1" applyAlignment="1">
      <alignment/>
    </xf>
    <xf numFmtId="164" fontId="15" fillId="16" borderId="23" xfId="70" applyNumberFormat="1" applyFont="1" applyFill="1" applyBorder="1" applyAlignment="1">
      <alignment/>
    </xf>
    <xf numFmtId="164" fontId="15" fillId="16" borderId="23" xfId="70" applyNumberFormat="1" applyFont="1" applyFill="1" applyBorder="1" applyAlignment="1">
      <alignment vertical="center"/>
    </xf>
    <xf numFmtId="0" fontId="15" fillId="16" borderId="19" xfId="0" applyFont="1" applyFill="1" applyBorder="1" applyAlignment="1">
      <alignment horizontal="center"/>
    </xf>
    <xf numFmtId="0" fontId="15" fillId="16" borderId="18" xfId="0" applyFont="1" applyFill="1" applyBorder="1" applyAlignment="1">
      <alignment vertical="center"/>
    </xf>
    <xf numFmtId="0" fontId="0" fillId="16" borderId="22" xfId="0" applyFont="1" applyFill="1" applyBorder="1" applyAlignment="1">
      <alignment/>
    </xf>
    <xf numFmtId="0" fontId="14" fillId="16" borderId="22" xfId="0" applyFont="1" applyFill="1" applyBorder="1" applyAlignment="1">
      <alignment horizontal="center"/>
    </xf>
    <xf numFmtId="0" fontId="14" fillId="16" borderId="11" xfId="0" applyFont="1" applyFill="1" applyBorder="1" applyAlignment="1">
      <alignment/>
    </xf>
    <xf numFmtId="0" fontId="15" fillId="16" borderId="24" xfId="0" applyFont="1" applyFill="1" applyBorder="1" applyAlignment="1">
      <alignment horizontal="center"/>
    </xf>
    <xf numFmtId="0" fontId="15" fillId="16" borderId="24" xfId="0" applyFont="1" applyFill="1" applyBorder="1" applyAlignment="1">
      <alignment/>
    </xf>
    <xf numFmtId="0" fontId="15" fillId="16" borderId="12" xfId="0" applyFont="1" applyFill="1" applyBorder="1" applyAlignment="1">
      <alignment vertical="center"/>
    </xf>
    <xf numFmtId="0" fontId="15" fillId="16" borderId="16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0" fontId="6" fillId="16" borderId="16" xfId="0" applyFont="1" applyFill="1" applyBorder="1" applyAlignment="1">
      <alignment/>
    </xf>
    <xf numFmtId="0" fontId="17" fillId="16" borderId="0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2" fillId="16" borderId="15" xfId="0" applyFont="1" applyFill="1" applyBorder="1" applyAlignment="1">
      <alignment/>
    </xf>
    <xf numFmtId="0" fontId="2" fillId="16" borderId="16" xfId="0" applyFont="1" applyFill="1" applyBorder="1" applyAlignment="1">
      <alignment/>
    </xf>
    <xf numFmtId="0" fontId="10" fillId="16" borderId="15" xfId="0" applyFont="1" applyFill="1" applyBorder="1" applyAlignment="1">
      <alignment horizontal="right"/>
    </xf>
    <xf numFmtId="166" fontId="4" fillId="16" borderId="15" xfId="70" applyNumberFormat="1" applyFont="1" applyFill="1" applyBorder="1" applyAlignment="1">
      <alignment/>
    </xf>
    <xf numFmtId="166" fontId="4" fillId="16" borderId="0" xfId="70" applyNumberFormat="1" applyFont="1" applyFill="1" applyBorder="1" applyAlignment="1">
      <alignment/>
    </xf>
    <xf numFmtId="0" fontId="2" fillId="16" borderId="15" xfId="0" applyFont="1" applyFill="1" applyBorder="1" applyAlignment="1">
      <alignment horizontal="center"/>
    </xf>
    <xf numFmtId="0" fontId="4" fillId="16" borderId="15" xfId="0" applyFont="1" applyFill="1" applyBorder="1" applyAlignment="1">
      <alignment/>
    </xf>
    <xf numFmtId="2" fontId="2" fillId="16" borderId="15" xfId="0" applyNumberFormat="1" applyFont="1" applyFill="1" applyBorder="1" applyAlignment="1">
      <alignment horizontal="center"/>
    </xf>
    <xf numFmtId="0" fontId="10" fillId="16" borderId="16" xfId="0" applyFont="1" applyFill="1" applyBorder="1" applyAlignment="1">
      <alignment/>
    </xf>
    <xf numFmtId="0" fontId="10" fillId="16" borderId="15" xfId="0" applyFont="1" applyFill="1" applyBorder="1" applyAlignment="1">
      <alignment/>
    </xf>
    <xf numFmtId="166" fontId="4" fillId="16" borderId="0" xfId="0" applyNumberFormat="1" applyFont="1" applyFill="1" applyBorder="1" applyAlignment="1">
      <alignment horizontal="center" vertical="center"/>
    </xf>
    <xf numFmtId="0" fontId="0" fillId="16" borderId="17" xfId="0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19" xfId="0" applyFill="1" applyBorder="1" applyAlignment="1">
      <alignment/>
    </xf>
    <xf numFmtId="0" fontId="116" fillId="0" borderId="0" xfId="0" applyFont="1" applyAlignment="1">
      <alignment/>
    </xf>
    <xf numFmtId="0" fontId="0" fillId="37" borderId="16" xfId="0" applyFill="1" applyBorder="1" applyAlignment="1">
      <alignment/>
    </xf>
    <xf numFmtId="0" fontId="0" fillId="37" borderId="21" xfId="0" applyFill="1" applyBorder="1" applyAlignment="1">
      <alignment/>
    </xf>
    <xf numFmtId="0" fontId="4" fillId="16" borderId="0" xfId="0" applyFont="1" applyFill="1" applyBorder="1" applyAlignment="1">
      <alignment vertical="center"/>
    </xf>
    <xf numFmtId="166" fontId="4" fillId="16" borderId="0" xfId="7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74" fontId="33" fillId="0" borderId="0" xfId="0" applyNumberFormat="1" applyFont="1" applyBorder="1" applyAlignment="1">
      <alignment horizontal="center"/>
    </xf>
    <xf numFmtId="16" fontId="34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16" fontId="33" fillId="0" borderId="0" xfId="0" applyNumberFormat="1" applyFont="1" applyBorder="1" applyAlignment="1" quotePrefix="1">
      <alignment horizontal="center"/>
    </xf>
    <xf numFmtId="0" fontId="0" fillId="16" borderId="0" xfId="0" applyFill="1" applyBorder="1" applyAlignment="1">
      <alignment/>
    </xf>
    <xf numFmtId="0" fontId="3" fillId="16" borderId="16" xfId="0" applyFont="1" applyFill="1" applyBorder="1" applyAlignment="1">
      <alignment horizontal="center"/>
    </xf>
    <xf numFmtId="0" fontId="13" fillId="16" borderId="0" xfId="53" applyFont="1" applyFill="1" applyBorder="1">
      <alignment/>
      <protection/>
    </xf>
    <xf numFmtId="0" fontId="0" fillId="16" borderId="0" xfId="53" applyFont="1" applyFill="1" applyBorder="1">
      <alignment/>
      <protection/>
    </xf>
    <xf numFmtId="166" fontId="4" fillId="16" borderId="15" xfId="0" applyNumberFormat="1" applyFont="1" applyFill="1" applyBorder="1" applyAlignment="1">
      <alignment horizontal="center" vertical="center"/>
    </xf>
    <xf numFmtId="0" fontId="0" fillId="16" borderId="15" xfId="0" applyFill="1" applyBorder="1" applyAlignment="1">
      <alignment/>
    </xf>
    <xf numFmtId="0" fontId="0" fillId="16" borderId="18" xfId="0" applyFill="1" applyBorder="1" applyAlignment="1">
      <alignment/>
    </xf>
    <xf numFmtId="0" fontId="0" fillId="38" borderId="0" xfId="0" applyFill="1" applyAlignment="1">
      <alignment/>
    </xf>
    <xf numFmtId="0" fontId="0" fillId="16" borderId="0" xfId="0" applyFont="1" applyFill="1" applyBorder="1" applyAlignment="1">
      <alignment/>
    </xf>
    <xf numFmtId="2" fontId="0" fillId="16" borderId="0" xfId="0" applyNumberFormat="1" applyFont="1" applyFill="1" applyBorder="1" applyAlignment="1">
      <alignment/>
    </xf>
    <xf numFmtId="0" fontId="19" fillId="16" borderId="0" xfId="0" applyFont="1" applyFill="1" applyBorder="1" applyAlignment="1">
      <alignment horizontal="center"/>
    </xf>
    <xf numFmtId="0" fontId="7" fillId="16" borderId="16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5" fillId="16" borderId="15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165" fontId="5" fillId="16" borderId="0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36" fillId="37" borderId="0" xfId="0" applyFont="1" applyFill="1" applyAlignment="1">
      <alignment/>
    </xf>
    <xf numFmtId="0" fontId="7" fillId="16" borderId="10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/>
    </xf>
    <xf numFmtId="0" fontId="7" fillId="8" borderId="21" xfId="0" applyFont="1" applyFill="1" applyBorder="1" applyAlignment="1">
      <alignment/>
    </xf>
    <xf numFmtId="165" fontId="5" fillId="8" borderId="0" xfId="0" applyNumberFormat="1" applyFont="1" applyFill="1" applyBorder="1" applyAlignment="1">
      <alignment horizontal="center"/>
    </xf>
    <xf numFmtId="0" fontId="35" fillId="6" borderId="16" xfId="0" applyFont="1" applyFill="1" applyBorder="1" applyAlignment="1">
      <alignment/>
    </xf>
    <xf numFmtId="165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5" fontId="5" fillId="12" borderId="0" xfId="0" applyNumberFormat="1" applyFont="1" applyFill="1" applyBorder="1" applyAlignment="1">
      <alignment horizontal="center"/>
    </xf>
    <xf numFmtId="0" fontId="7" fillId="12" borderId="0" xfId="0" applyFont="1" applyFill="1" applyBorder="1" applyAlignment="1">
      <alignment/>
    </xf>
    <xf numFmtId="0" fontId="117" fillId="39" borderId="16" xfId="0" applyFont="1" applyFill="1" applyBorder="1" applyAlignment="1">
      <alignment/>
    </xf>
    <xf numFmtId="165" fontId="118" fillId="39" borderId="0" xfId="0" applyNumberFormat="1" applyFont="1" applyFill="1" applyBorder="1" applyAlignment="1">
      <alignment horizontal="center"/>
    </xf>
    <xf numFmtId="0" fontId="119" fillId="40" borderId="16" xfId="0" applyFont="1" applyFill="1" applyBorder="1" applyAlignment="1">
      <alignment/>
    </xf>
    <xf numFmtId="165" fontId="118" fillId="40" borderId="0" xfId="0" applyNumberFormat="1" applyFont="1" applyFill="1" applyBorder="1" applyAlignment="1">
      <alignment horizontal="center"/>
    </xf>
    <xf numFmtId="0" fontId="119" fillId="41" borderId="16" xfId="0" applyFont="1" applyFill="1" applyBorder="1" applyAlignment="1">
      <alignment/>
    </xf>
    <xf numFmtId="2" fontId="118" fillId="41" borderId="0" xfId="0" applyNumberFormat="1" applyFont="1" applyFill="1" applyBorder="1" applyAlignment="1">
      <alignment horizontal="center"/>
    </xf>
    <xf numFmtId="0" fontId="7" fillId="12" borderId="16" xfId="0" applyFont="1" applyFill="1" applyBorder="1" applyAlignment="1">
      <alignment/>
    </xf>
    <xf numFmtId="3" fontId="5" fillId="6" borderId="0" xfId="0" applyNumberFormat="1" applyFont="1" applyFill="1" applyBorder="1" applyAlignment="1">
      <alignment horizontal="center"/>
    </xf>
    <xf numFmtId="2" fontId="5" fillId="12" borderId="0" xfId="0" applyNumberFormat="1" applyFont="1" applyFill="1" applyBorder="1" applyAlignment="1">
      <alignment horizontal="center"/>
    </xf>
    <xf numFmtId="3" fontId="5" fillId="12" borderId="0" xfId="0" applyNumberFormat="1" applyFont="1" applyFill="1" applyBorder="1" applyAlignment="1">
      <alignment horizontal="center"/>
    </xf>
    <xf numFmtId="165" fontId="5" fillId="12" borderId="0" xfId="0" applyNumberFormat="1" applyFont="1" applyFill="1" applyBorder="1" applyAlignment="1">
      <alignment horizontal="center" vertical="center"/>
    </xf>
    <xf numFmtId="0" fontId="5" fillId="12" borderId="0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0" fontId="5" fillId="12" borderId="15" xfId="0" applyFont="1" applyFill="1" applyBorder="1" applyAlignment="1">
      <alignment/>
    </xf>
    <xf numFmtId="0" fontId="13" fillId="37" borderId="0" xfId="0" applyFont="1" applyFill="1" applyAlignment="1">
      <alignment/>
    </xf>
    <xf numFmtId="0" fontId="7" fillId="8" borderId="20" xfId="0" applyFont="1" applyFill="1" applyBorder="1" applyAlignment="1">
      <alignment/>
    </xf>
    <xf numFmtId="0" fontId="0" fillId="16" borderId="16" xfId="0" applyFill="1" applyBorder="1" applyAlignment="1">
      <alignment/>
    </xf>
    <xf numFmtId="0" fontId="22" fillId="16" borderId="19" xfId="56" applyFont="1" applyFill="1" applyBorder="1">
      <alignment/>
      <protection/>
    </xf>
    <xf numFmtId="166" fontId="4" fillId="16" borderId="19" xfId="7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4" fillId="16" borderId="17" xfId="0" applyFont="1" applyFill="1" applyBorder="1" applyAlignment="1">
      <alignment vertical="center"/>
    </xf>
    <xf numFmtId="166" fontId="4" fillId="16" borderId="18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/>
    </xf>
    <xf numFmtId="0" fontId="0" fillId="16" borderId="25" xfId="0" applyFill="1" applyBorder="1" applyAlignment="1">
      <alignment/>
    </xf>
    <xf numFmtId="0" fontId="0" fillId="16" borderId="0" xfId="0" applyFont="1" applyFill="1" applyAlignment="1">
      <alignment/>
    </xf>
    <xf numFmtId="0" fontId="0" fillId="13" borderId="26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13" borderId="28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49" fontId="22" fillId="16" borderId="0" xfId="56" applyNumberFormat="1" applyFont="1" applyFill="1" applyBorder="1" applyAlignment="1">
      <alignment horizontal="left" vertical="center" indent="1"/>
      <protection/>
    </xf>
    <xf numFmtId="171" fontId="22" fillId="16" borderId="0" xfId="58" applyNumberFormat="1" applyFont="1" applyFill="1" applyBorder="1" applyAlignment="1">
      <alignment horizontal="right" vertical="center"/>
    </xf>
    <xf numFmtId="2" fontId="0" fillId="16" borderId="0" xfId="0" applyNumberFormat="1" applyFill="1" applyBorder="1" applyAlignment="1">
      <alignment/>
    </xf>
    <xf numFmtId="49" fontId="24" fillId="16" borderId="0" xfId="56" applyNumberFormat="1" applyFont="1" applyFill="1" applyBorder="1" applyAlignment="1">
      <alignment horizontal="left" vertical="center" indent="1"/>
      <protection/>
    </xf>
    <xf numFmtId="172" fontId="24" fillId="16" borderId="0" xfId="56" applyNumberFormat="1" applyFont="1" applyFill="1" applyBorder="1" applyAlignment="1">
      <alignment vertical="center"/>
      <protection/>
    </xf>
    <xf numFmtId="0" fontId="4" fillId="16" borderId="0" xfId="0" applyFont="1" applyFill="1" applyAlignment="1">
      <alignment/>
    </xf>
    <xf numFmtId="0" fontId="5" fillId="36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168" fontId="7" fillId="36" borderId="22" xfId="70" applyNumberFormat="1" applyFont="1" applyFill="1" applyBorder="1" applyAlignment="1">
      <alignment/>
    </xf>
    <xf numFmtId="168" fontId="7" fillId="36" borderId="29" xfId="70" applyNumberFormat="1" applyFont="1" applyFill="1" applyBorder="1" applyAlignment="1">
      <alignment/>
    </xf>
    <xf numFmtId="166" fontId="7" fillId="36" borderId="0" xfId="70" applyNumberFormat="1" applyFont="1" applyFill="1" applyBorder="1" applyAlignment="1">
      <alignment/>
    </xf>
    <xf numFmtId="0" fontId="7" fillId="36" borderId="30" xfId="0" applyFont="1" applyFill="1" applyBorder="1" applyAlignment="1">
      <alignment horizontal="center"/>
    </xf>
    <xf numFmtId="168" fontId="7" fillId="36" borderId="31" xfId="70" applyNumberFormat="1" applyFont="1" applyFill="1" applyBorder="1" applyAlignment="1">
      <alignment/>
    </xf>
    <xf numFmtId="0" fontId="7" fillId="12" borderId="30" xfId="0" applyFont="1" applyFill="1" applyBorder="1" applyAlignment="1">
      <alignment horizontal="center"/>
    </xf>
    <xf numFmtId="168" fontId="7" fillId="12" borderId="31" xfId="70" applyNumberFormat="1" applyFont="1" applyFill="1" applyBorder="1" applyAlignment="1">
      <alignment/>
    </xf>
    <xf numFmtId="16" fontId="15" fillId="16" borderId="22" xfId="0" applyNumberFormat="1" applyFont="1" applyFill="1" applyBorder="1" applyAlignment="1" quotePrefix="1">
      <alignment horizontal="center"/>
    </xf>
    <xf numFmtId="166" fontId="7" fillId="36" borderId="15" xfId="70" applyNumberFormat="1" applyFont="1" applyFill="1" applyBorder="1" applyAlignment="1">
      <alignment/>
    </xf>
    <xf numFmtId="166" fontId="7" fillId="36" borderId="30" xfId="70" applyNumberFormat="1" applyFont="1" applyFill="1" applyBorder="1" applyAlignment="1">
      <alignment/>
    </xf>
    <xf numFmtId="166" fontId="5" fillId="36" borderId="15" xfId="70" applyNumberFormat="1" applyFont="1" applyFill="1" applyBorder="1" applyAlignment="1">
      <alignment/>
    </xf>
    <xf numFmtId="166" fontId="5" fillId="36" borderId="30" xfId="70" applyNumberFormat="1" applyFont="1" applyFill="1" applyBorder="1" applyAlignment="1">
      <alignment/>
    </xf>
    <xf numFmtId="166" fontId="7" fillId="12" borderId="32" xfId="70" applyNumberFormat="1" applyFont="1" applyFill="1" applyBorder="1" applyAlignment="1">
      <alignment/>
    </xf>
    <xf numFmtId="166" fontId="5" fillId="36" borderId="16" xfId="70" applyNumberFormat="1" applyFont="1" applyFill="1" applyBorder="1" applyAlignment="1">
      <alignment/>
    </xf>
    <xf numFmtId="166" fontId="7" fillId="12" borderId="33" xfId="70" applyNumberFormat="1" applyFont="1" applyFill="1" applyBorder="1" applyAlignment="1">
      <alignment/>
    </xf>
    <xf numFmtId="166" fontId="5" fillId="36" borderId="0" xfId="70" applyNumberFormat="1" applyFont="1" applyFill="1" applyBorder="1" applyAlignment="1">
      <alignment/>
    </xf>
    <xf numFmtId="168" fontId="5" fillId="36" borderId="22" xfId="70" applyNumberFormat="1" applyFont="1" applyFill="1" applyBorder="1" applyAlignment="1">
      <alignment/>
    </xf>
    <xf numFmtId="168" fontId="7" fillId="12" borderId="26" xfId="70" applyNumberFormat="1" applyFont="1" applyFill="1" applyBorder="1" applyAlignment="1">
      <alignment/>
    </xf>
    <xf numFmtId="169" fontId="37" fillId="16" borderId="19" xfId="0" applyNumberFormat="1" applyFont="1" applyFill="1" applyBorder="1" applyAlignment="1">
      <alignment horizontal="left"/>
    </xf>
    <xf numFmtId="0" fontId="15" fillId="16" borderId="21" xfId="0" applyFont="1" applyFill="1" applyBorder="1" applyAlignment="1">
      <alignment/>
    </xf>
    <xf numFmtId="164" fontId="14" fillId="16" borderId="18" xfId="70" applyFont="1" applyFill="1" applyBorder="1" applyAlignment="1">
      <alignment vertical="center"/>
    </xf>
    <xf numFmtId="164" fontId="0" fillId="0" borderId="0" xfId="70" applyFont="1" applyFill="1" applyBorder="1" applyAlignment="1">
      <alignment horizontal="center"/>
    </xf>
    <xf numFmtId="164" fontId="0" fillId="0" borderId="0" xfId="70" applyFont="1" applyAlignment="1">
      <alignment/>
    </xf>
    <xf numFmtId="164" fontId="0" fillId="0" borderId="19" xfId="70" applyFont="1" applyBorder="1" applyAlignment="1">
      <alignment/>
    </xf>
    <xf numFmtId="1" fontId="8" fillId="42" borderId="10" xfId="0" applyNumberFormat="1" applyFont="1" applyFill="1" applyBorder="1" applyAlignment="1">
      <alignment horizontal="center" vertical="center"/>
    </xf>
    <xf numFmtId="168" fontId="0" fillId="0" borderId="18" xfId="70" applyNumberFormat="1" applyFont="1" applyBorder="1" applyAlignment="1">
      <alignment horizontal="left" vertical="center"/>
    </xf>
    <xf numFmtId="0" fontId="0" fillId="43" borderId="30" xfId="0" applyFont="1" applyFill="1" applyBorder="1" applyAlignment="1">
      <alignment horizontal="center"/>
    </xf>
    <xf numFmtId="2" fontId="8" fillId="42" borderId="34" xfId="0" applyNumberFormat="1" applyFont="1" applyFill="1" applyBorder="1" applyAlignment="1">
      <alignment horizontal="center" vertical="center"/>
    </xf>
    <xf numFmtId="0" fontId="8" fillId="42" borderId="35" xfId="0" applyFont="1" applyFill="1" applyBorder="1" applyAlignment="1">
      <alignment horizontal="center" vertical="center"/>
    </xf>
    <xf numFmtId="168" fontId="0" fillId="0" borderId="36" xfId="70" applyNumberFormat="1" applyFont="1" applyBorder="1" applyAlignment="1">
      <alignment horizontal="left" vertical="center"/>
    </xf>
    <xf numFmtId="168" fontId="8" fillId="34" borderId="10" xfId="70" applyNumberFormat="1" applyFont="1" applyFill="1" applyBorder="1" applyAlignment="1">
      <alignment horizontal="right" vertical="center"/>
    </xf>
    <xf numFmtId="1" fontId="8" fillId="34" borderId="10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top" wrapText="1"/>
    </xf>
    <xf numFmtId="3" fontId="8" fillId="34" borderId="10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" fontId="8" fillId="34" borderId="12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 horizontal="center"/>
    </xf>
    <xf numFmtId="3" fontId="8" fillId="34" borderId="23" xfId="0" applyNumberFormat="1" applyFont="1" applyFill="1" applyBorder="1" applyAlignment="1">
      <alignment horizontal="center"/>
    </xf>
    <xf numFmtId="2" fontId="8" fillId="34" borderId="23" xfId="0" applyNumberFormat="1" applyFont="1" applyFill="1" applyBorder="1" applyAlignment="1">
      <alignment horizontal="center"/>
    </xf>
    <xf numFmtId="1" fontId="8" fillId="34" borderId="23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168" fontId="8" fillId="33" borderId="12" xfId="70" applyNumberFormat="1" applyFont="1" applyFill="1" applyBorder="1" applyAlignment="1">
      <alignment/>
    </xf>
    <xf numFmtId="168" fontId="8" fillId="33" borderId="10" xfId="70" applyNumberFormat="1" applyFont="1" applyFill="1" applyBorder="1" applyAlignment="1">
      <alignment/>
    </xf>
    <xf numFmtId="168" fontId="8" fillId="33" borderId="10" xfId="70" applyNumberFormat="1" applyFont="1" applyFill="1" applyBorder="1" applyAlignment="1" quotePrefix="1">
      <alignment horizontal="right"/>
    </xf>
    <xf numFmtId="0" fontId="8" fillId="34" borderId="12" xfId="0" applyFont="1" applyFill="1" applyBorder="1" applyAlignment="1">
      <alignment horizontal="center"/>
    </xf>
    <xf numFmtId="168" fontId="8" fillId="34" borderId="12" xfId="70" applyNumberFormat="1" applyFont="1" applyFill="1" applyBorder="1" applyAlignment="1">
      <alignment horizontal="right" vertical="center"/>
    </xf>
    <xf numFmtId="168" fontId="8" fillId="34" borderId="10" xfId="70" applyNumberFormat="1" applyFont="1" applyFill="1" applyBorder="1" applyAlignment="1" quotePrefix="1">
      <alignment horizontal="right"/>
    </xf>
    <xf numFmtId="0" fontId="8" fillId="33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17" fillId="16" borderId="14" xfId="0" applyFont="1" applyFill="1" applyBorder="1" applyAlignment="1">
      <alignment horizontal="center"/>
    </xf>
    <xf numFmtId="0" fontId="17" fillId="16" borderId="21" xfId="0" applyFont="1" applyFill="1" applyBorder="1" applyAlignment="1">
      <alignment horizontal="center"/>
    </xf>
    <xf numFmtId="0" fontId="17" fillId="16" borderId="20" xfId="0" applyFont="1" applyFill="1" applyBorder="1" applyAlignment="1">
      <alignment horizontal="center"/>
    </xf>
    <xf numFmtId="0" fontId="15" fillId="16" borderId="20" xfId="0" applyFont="1" applyFill="1" applyBorder="1" applyAlignment="1">
      <alignment horizontal="center" vertical="center"/>
    </xf>
    <xf numFmtId="164" fontId="15" fillId="16" borderId="18" xfId="70" applyFont="1" applyFill="1" applyBorder="1" applyAlignment="1">
      <alignment horizontal="center" vertical="center"/>
    </xf>
    <xf numFmtId="0" fontId="15" fillId="16" borderId="13" xfId="0" applyFont="1" applyFill="1" applyBorder="1" applyAlignment="1">
      <alignment horizontal="center" vertical="center"/>
    </xf>
    <xf numFmtId="0" fontId="15" fillId="16" borderId="23" xfId="0" applyFont="1" applyFill="1" applyBorder="1" applyAlignment="1">
      <alignment horizontal="center" vertical="center"/>
    </xf>
    <xf numFmtId="0" fontId="14" fillId="16" borderId="16" xfId="0" applyFont="1" applyFill="1" applyBorder="1" applyAlignment="1">
      <alignment vertical="center"/>
    </xf>
    <xf numFmtId="0" fontId="14" fillId="16" borderId="17" xfId="0" applyFont="1" applyFill="1" applyBorder="1" applyAlignment="1">
      <alignment vertical="center"/>
    </xf>
    <xf numFmtId="164" fontId="15" fillId="16" borderId="18" xfId="70" applyFont="1" applyFill="1" applyBorder="1" applyAlignment="1">
      <alignment vertical="center"/>
    </xf>
    <xf numFmtId="164" fontId="15" fillId="16" borderId="19" xfId="7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166" fontId="5" fillId="36" borderId="22" xfId="70" applyNumberFormat="1" applyFont="1" applyFill="1" applyBorder="1" applyAlignment="1">
      <alignment/>
    </xf>
    <xf numFmtId="0" fontId="5" fillId="36" borderId="15" xfId="0" applyFont="1" applyFill="1" applyBorder="1" applyAlignment="1">
      <alignment/>
    </xf>
    <xf numFmtId="166" fontId="5" fillId="36" borderId="22" xfId="70" applyNumberFormat="1" applyFont="1" applyFill="1" applyBorder="1" applyAlignment="1">
      <alignment horizontal="center"/>
    </xf>
    <xf numFmtId="0" fontId="5" fillId="36" borderId="30" xfId="0" applyFont="1" applyFill="1" applyBorder="1" applyAlignment="1">
      <alignment/>
    </xf>
    <xf numFmtId="166" fontId="5" fillId="36" borderId="31" xfId="70" applyNumberFormat="1" applyFont="1" applyFill="1" applyBorder="1" applyAlignment="1">
      <alignment/>
    </xf>
    <xf numFmtId="168" fontId="5" fillId="36" borderId="15" xfId="70" applyNumberFormat="1" applyFont="1" applyFill="1" applyBorder="1" applyAlignment="1">
      <alignment/>
    </xf>
    <xf numFmtId="168" fontId="5" fillId="36" borderId="0" xfId="70" applyNumberFormat="1" applyFont="1" applyFill="1" applyBorder="1" applyAlignment="1">
      <alignment/>
    </xf>
    <xf numFmtId="0" fontId="5" fillId="16" borderId="0" xfId="0" applyFont="1" applyFill="1" applyBorder="1" applyAlignment="1">
      <alignment horizontal="center"/>
    </xf>
    <xf numFmtId="168" fontId="5" fillId="16" borderId="0" xfId="70" applyNumberFormat="1" applyFont="1" applyFill="1" applyBorder="1" applyAlignment="1">
      <alignment/>
    </xf>
    <xf numFmtId="169" fontId="38" fillId="16" borderId="19" xfId="0" applyNumberFormat="1" applyFont="1" applyFill="1" applyBorder="1" applyAlignment="1">
      <alignment horizontal="left"/>
    </xf>
    <xf numFmtId="0" fontId="9" fillId="37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16" borderId="14" xfId="0" applyFill="1" applyBorder="1" applyAlignment="1">
      <alignment/>
    </xf>
    <xf numFmtId="0" fontId="0" fillId="16" borderId="20" xfId="0" applyFill="1" applyBorder="1" applyAlignment="1">
      <alignment/>
    </xf>
    <xf numFmtId="0" fontId="4" fillId="16" borderId="19" xfId="0" applyFont="1" applyFill="1" applyBorder="1" applyAlignment="1">
      <alignment/>
    </xf>
    <xf numFmtId="0" fontId="4" fillId="16" borderId="16" xfId="0" applyFont="1" applyFill="1" applyBorder="1" applyAlignment="1">
      <alignment/>
    </xf>
    <xf numFmtId="0" fontId="4" fillId="16" borderId="17" xfId="0" applyFont="1" applyFill="1" applyBorder="1" applyAlignment="1">
      <alignment/>
    </xf>
    <xf numFmtId="164" fontId="15" fillId="16" borderId="20" xfId="70" applyFont="1" applyFill="1" applyBorder="1" applyAlignment="1">
      <alignment vertical="center"/>
    </xf>
    <xf numFmtId="0" fontId="15" fillId="16" borderId="21" xfId="0" applyFont="1" applyFill="1" applyBorder="1" applyAlignment="1">
      <alignment horizontal="left" vertical="center"/>
    </xf>
    <xf numFmtId="49" fontId="18" fillId="16" borderId="0" xfId="55" applyNumberFormat="1" applyFont="1" applyFill="1" applyBorder="1" applyAlignment="1">
      <alignment horizontal="center" vertical="center" wrapText="1"/>
      <protection/>
    </xf>
    <xf numFmtId="164" fontId="15" fillId="16" borderId="22" xfId="70" applyNumberFormat="1" applyFont="1" applyFill="1" applyBorder="1" applyAlignment="1">
      <alignment horizontal="right"/>
    </xf>
    <xf numFmtId="168" fontId="0" fillId="16" borderId="19" xfId="70" applyNumberFormat="1" applyFont="1" applyFill="1" applyBorder="1" applyAlignment="1">
      <alignment/>
    </xf>
    <xf numFmtId="0" fontId="8" fillId="34" borderId="18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/>
      <protection/>
    </xf>
    <xf numFmtId="0" fontId="12" fillId="16" borderId="0" xfId="0" applyFont="1" applyFill="1" applyBorder="1" applyAlignment="1">
      <alignment horizontal="center"/>
    </xf>
    <xf numFmtId="2" fontId="8" fillId="19" borderId="24" xfId="0" applyNumberFormat="1" applyFont="1" applyFill="1" applyBorder="1" applyAlignment="1">
      <alignment horizontal="center"/>
    </xf>
    <xf numFmtId="2" fontId="8" fillId="19" borderId="12" xfId="0" applyNumberFormat="1" applyFont="1" applyFill="1" applyBorder="1" applyAlignment="1">
      <alignment horizontal="center"/>
    </xf>
    <xf numFmtId="2" fontId="12" fillId="16" borderId="0" xfId="0" applyNumberFormat="1" applyFont="1" applyFill="1" applyAlignment="1">
      <alignment horizontal="right"/>
    </xf>
    <xf numFmtId="2" fontId="12" fillId="16" borderId="0" xfId="0" applyNumberFormat="1" applyFont="1" applyFill="1" applyAlignment="1">
      <alignment horizontal="center"/>
    </xf>
    <xf numFmtId="2" fontId="12" fillId="16" borderId="19" xfId="0" applyNumberFormat="1" applyFont="1" applyFill="1" applyBorder="1" applyAlignment="1">
      <alignment horizontal="right"/>
    </xf>
    <xf numFmtId="2" fontId="12" fillId="16" borderId="19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12" fillId="16" borderId="19" xfId="45" applyFont="1" applyFill="1" applyBorder="1" applyAlignment="1" applyProtection="1">
      <alignment horizontal="left" vertical="center"/>
      <protection/>
    </xf>
    <xf numFmtId="0" fontId="0" fillId="16" borderId="25" xfId="0" applyFont="1" applyFill="1" applyBorder="1" applyAlignment="1">
      <alignment/>
    </xf>
    <xf numFmtId="0" fontId="8" fillId="19" borderId="32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/>
    </xf>
    <xf numFmtId="1" fontId="8" fillId="43" borderId="10" xfId="0" applyNumberFormat="1" applyFont="1" applyFill="1" applyBorder="1" applyAlignment="1">
      <alignment horizontal="center" vertical="center"/>
    </xf>
    <xf numFmtId="3" fontId="8" fillId="43" borderId="34" xfId="0" applyNumberFormat="1" applyFont="1" applyFill="1" applyBorder="1" applyAlignment="1">
      <alignment horizontal="center" vertical="center"/>
    </xf>
    <xf numFmtId="3" fontId="8" fillId="43" borderId="35" xfId="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164" fontId="0" fillId="13" borderId="28" xfId="70" applyFont="1" applyFill="1" applyBorder="1" applyAlignment="1">
      <alignment horizontal="center" vertical="center" wrapText="1"/>
    </xf>
    <xf numFmtId="164" fontId="0" fillId="13" borderId="37" xfId="70" applyNumberFormat="1" applyFont="1" applyFill="1" applyBorder="1" applyAlignment="1">
      <alignment horizontal="center" vertical="center" wrapText="1"/>
    </xf>
    <xf numFmtId="164" fontId="0" fillId="13" borderId="10" xfId="70" applyFont="1" applyFill="1" applyBorder="1" applyAlignment="1">
      <alignment horizontal="center" vertical="center" wrapText="1"/>
    </xf>
    <xf numFmtId="164" fontId="0" fillId="13" borderId="24" xfId="70" applyNumberFormat="1" applyFont="1" applyFill="1" applyBorder="1" applyAlignment="1">
      <alignment horizontal="center" vertical="center" wrapText="1"/>
    </xf>
    <xf numFmtId="164" fontId="14" fillId="16" borderId="22" xfId="70" applyFont="1" applyFill="1" applyBorder="1" applyAlignment="1">
      <alignment/>
    </xf>
    <xf numFmtId="168" fontId="8" fillId="34" borderId="26" xfId="70" applyNumberFormat="1" applyFont="1" applyFill="1" applyBorder="1" applyAlignment="1">
      <alignment horizontal="center" vertical="center"/>
    </xf>
    <xf numFmtId="168" fontId="7" fillId="36" borderId="0" xfId="70" applyNumberFormat="1" applyFont="1" applyFill="1" applyBorder="1" applyAlignment="1">
      <alignment/>
    </xf>
    <xf numFmtId="168" fontId="7" fillId="36" borderId="25" xfId="70" applyNumberFormat="1" applyFont="1" applyFill="1" applyBorder="1" applyAlignment="1">
      <alignment/>
    </xf>
    <xf numFmtId="168" fontId="7" fillId="12" borderId="38" xfId="70" applyNumberFormat="1" applyFont="1" applyFill="1" applyBorder="1" applyAlignment="1">
      <alignment/>
    </xf>
    <xf numFmtId="168" fontId="7" fillId="36" borderId="39" xfId="70" applyNumberFormat="1" applyFont="1" applyFill="1" applyBorder="1" applyAlignment="1">
      <alignment/>
    </xf>
    <xf numFmtId="168" fontId="7" fillId="36" borderId="15" xfId="70" applyNumberFormat="1" applyFont="1" applyFill="1" applyBorder="1" applyAlignment="1">
      <alignment/>
    </xf>
    <xf numFmtId="168" fontId="7" fillId="36" borderId="30" xfId="70" applyNumberFormat="1" applyFont="1" applyFill="1" applyBorder="1" applyAlignment="1">
      <alignment/>
    </xf>
    <xf numFmtId="168" fontId="7" fillId="12" borderId="30" xfId="70" applyNumberFormat="1" applyFont="1" applyFill="1" applyBorder="1" applyAlignment="1">
      <alignment/>
    </xf>
    <xf numFmtId="166" fontId="7" fillId="36" borderId="40" xfId="70" applyNumberFormat="1" applyFont="1" applyFill="1" applyBorder="1" applyAlignment="1">
      <alignment/>
    </xf>
    <xf numFmtId="166" fontId="7" fillId="36" borderId="16" xfId="70" applyNumberFormat="1" applyFont="1" applyFill="1" applyBorder="1" applyAlignment="1">
      <alignment/>
    </xf>
    <xf numFmtId="166" fontId="7" fillId="36" borderId="38" xfId="70" applyNumberFormat="1" applyFont="1" applyFill="1" applyBorder="1" applyAlignment="1">
      <alignment/>
    </xf>
    <xf numFmtId="168" fontId="8" fillId="12" borderId="32" xfId="70" applyNumberFormat="1" applyFont="1" applyFill="1" applyBorder="1" applyAlignment="1">
      <alignment/>
    </xf>
    <xf numFmtId="166" fontId="8" fillId="12" borderId="31" xfId="70" applyNumberFormat="1" applyFont="1" applyFill="1" applyBorder="1" applyAlignment="1">
      <alignment/>
    </xf>
    <xf numFmtId="168" fontId="8" fillId="12" borderId="41" xfId="70" applyNumberFormat="1" applyFont="1" applyFill="1" applyBorder="1" applyAlignment="1">
      <alignment/>
    </xf>
    <xf numFmtId="0" fontId="8" fillId="12" borderId="32" xfId="0" applyFont="1" applyFill="1" applyBorder="1" applyAlignment="1">
      <alignment vertical="center"/>
    </xf>
    <xf numFmtId="166" fontId="8" fillId="12" borderId="26" xfId="70" applyNumberFormat="1" applyFont="1" applyFill="1" applyBorder="1" applyAlignment="1">
      <alignment horizontal="center" vertical="center"/>
    </xf>
    <xf numFmtId="166" fontId="8" fillId="12" borderId="26" xfId="0" applyNumberFormat="1" applyFont="1" applyFill="1" applyBorder="1" applyAlignment="1">
      <alignment horizontal="center" vertical="center"/>
    </xf>
    <xf numFmtId="166" fontId="8" fillId="12" borderId="32" xfId="70" applyNumberFormat="1" applyFont="1" applyFill="1" applyBorder="1" applyAlignment="1">
      <alignment horizontal="center" vertical="center"/>
    </xf>
    <xf numFmtId="168" fontId="8" fillId="12" borderId="31" xfId="7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168" fontId="8" fillId="34" borderId="10" xfId="7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8" fillId="34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34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8" fillId="0" borderId="0" xfId="7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8" fontId="8" fillId="34" borderId="12" xfId="7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37" borderId="0" xfId="0" applyFont="1" applyFill="1" applyAlignment="1">
      <alignment horizontal="right"/>
    </xf>
    <xf numFmtId="169" fontId="37" fillId="44" borderId="0" xfId="0" applyNumberFormat="1" applyFont="1" applyFill="1" applyBorder="1" applyAlignment="1">
      <alignment horizontal="left"/>
    </xf>
    <xf numFmtId="0" fontId="17" fillId="16" borderId="16" xfId="0" applyFont="1" applyFill="1" applyBorder="1" applyAlignment="1">
      <alignment horizontal="center"/>
    </xf>
    <xf numFmtId="0" fontId="17" fillId="16" borderId="0" xfId="0" applyFont="1" applyFill="1" applyBorder="1" applyAlignment="1">
      <alignment horizontal="center"/>
    </xf>
    <xf numFmtId="0" fontId="17" fillId="16" borderId="15" xfId="0" applyFont="1" applyFill="1" applyBorder="1" applyAlignment="1">
      <alignment horizontal="center"/>
    </xf>
    <xf numFmtId="0" fontId="8" fillId="16" borderId="0" xfId="53" applyFont="1" applyFill="1" applyBorder="1" applyAlignment="1">
      <alignment horizontal="center"/>
      <protection/>
    </xf>
    <xf numFmtId="17" fontId="18" fillId="12" borderId="26" xfId="0" applyNumberFormat="1" applyFont="1" applyFill="1" applyBorder="1" applyAlignment="1">
      <alignment horizontal="center" vertical="center" wrapText="1"/>
    </xf>
    <xf numFmtId="0" fontId="18" fillId="12" borderId="32" xfId="0" applyFont="1" applyFill="1" applyBorder="1" applyAlignment="1">
      <alignment horizontal="center" vertical="center" wrapText="1"/>
    </xf>
    <xf numFmtId="17" fontId="18" fillId="12" borderId="32" xfId="0" applyNumberFormat="1" applyFont="1" applyFill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/>
    </xf>
    <xf numFmtId="0" fontId="18" fillId="12" borderId="25" xfId="0" applyFont="1" applyFill="1" applyBorder="1" applyAlignment="1">
      <alignment horizontal="center" vertical="center" wrapText="1"/>
    </xf>
    <xf numFmtId="0" fontId="17" fillId="16" borderId="13" xfId="0" applyFont="1" applyFill="1" applyBorder="1" applyAlignment="1">
      <alignment horizontal="center"/>
    </xf>
    <xf numFmtId="0" fontId="17" fillId="16" borderId="22" xfId="0" applyFont="1" applyFill="1" applyBorder="1" applyAlignment="1">
      <alignment horizontal="center"/>
    </xf>
    <xf numFmtId="0" fontId="2" fillId="16" borderId="23" xfId="0" applyFont="1" applyFill="1" applyBorder="1" applyAlignment="1">
      <alignment/>
    </xf>
    <xf numFmtId="0" fontId="8" fillId="16" borderId="22" xfId="0" applyFont="1" applyFill="1" applyBorder="1" applyAlignment="1">
      <alignment horizontal="center"/>
    </xf>
    <xf numFmtId="0" fontId="30" fillId="16" borderId="22" xfId="0" applyFont="1" applyFill="1" applyBorder="1" applyAlignment="1">
      <alignment horizontal="center" vertical="center"/>
    </xf>
    <xf numFmtId="0" fontId="30" fillId="16" borderId="22" xfId="54" applyFont="1" applyFill="1" applyBorder="1" applyAlignment="1">
      <alignment horizontal="center" vertical="center"/>
      <protection/>
    </xf>
    <xf numFmtId="0" fontId="0" fillId="16" borderId="22" xfId="52" applyFont="1" applyFill="1" applyBorder="1" applyAlignment="1">
      <alignment horizontal="center"/>
      <protection/>
    </xf>
    <xf numFmtId="0" fontId="25" fillId="16" borderId="22" xfId="44" applyFont="1" applyFill="1" applyBorder="1" applyAlignment="1" applyProtection="1">
      <alignment horizontal="center"/>
      <protection/>
    </xf>
    <xf numFmtId="0" fontId="0" fillId="12" borderId="39" xfId="0" applyFont="1" applyFill="1" applyBorder="1" applyAlignment="1">
      <alignment horizontal="center"/>
    </xf>
    <xf numFmtId="0" fontId="0" fillId="12" borderId="29" xfId="0" applyFont="1" applyFill="1" applyBorder="1" applyAlignment="1">
      <alignment horizontal="center"/>
    </xf>
    <xf numFmtId="0" fontId="0" fillId="12" borderId="30" xfId="0" applyFont="1" applyFill="1" applyBorder="1" applyAlignment="1">
      <alignment horizontal="center"/>
    </xf>
    <xf numFmtId="0" fontId="0" fillId="12" borderId="34" xfId="0" applyFont="1" applyFill="1" applyBorder="1" applyAlignment="1">
      <alignment horizontal="center"/>
    </xf>
    <xf numFmtId="0" fontId="0" fillId="12" borderId="42" xfId="0" applyFont="1" applyFill="1" applyBorder="1" applyAlignment="1">
      <alignment horizontal="center"/>
    </xf>
    <xf numFmtId="0" fontId="0" fillId="12" borderId="31" xfId="0" applyFont="1" applyFill="1" applyBorder="1" applyAlignment="1">
      <alignment horizontal="center"/>
    </xf>
    <xf numFmtId="0" fontId="0" fillId="12" borderId="36" xfId="0" applyFont="1" applyFill="1" applyBorder="1" applyAlignment="1">
      <alignment horizontal="center"/>
    </xf>
    <xf numFmtId="0" fontId="0" fillId="12" borderId="38" xfId="0" applyFont="1" applyFill="1" applyBorder="1" applyAlignment="1">
      <alignment horizontal="center"/>
    </xf>
    <xf numFmtId="0" fontId="17" fillId="16" borderId="16" xfId="0" applyFont="1" applyFill="1" applyBorder="1" applyAlignment="1">
      <alignment/>
    </xf>
    <xf numFmtId="0" fontId="4" fillId="16" borderId="16" xfId="0" applyFont="1" applyFill="1" applyBorder="1" applyAlignment="1">
      <alignment vertical="center"/>
    </xf>
    <xf numFmtId="0" fontId="0" fillId="16" borderId="21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16" borderId="17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right"/>
    </xf>
    <xf numFmtId="0" fontId="0" fillId="16" borderId="17" xfId="0" applyFont="1" applyFill="1" applyBorder="1" applyAlignment="1">
      <alignment horizontal="right"/>
    </xf>
    <xf numFmtId="0" fontId="0" fillId="16" borderId="19" xfId="0" applyFont="1" applyFill="1" applyBorder="1" applyAlignment="1">
      <alignment horizontal="right"/>
    </xf>
    <xf numFmtId="168" fontId="0" fillId="16" borderId="0" xfId="70" applyNumberFormat="1" applyFont="1" applyFill="1" applyBorder="1" applyAlignment="1">
      <alignment horizontal="right"/>
    </xf>
    <xf numFmtId="168" fontId="0" fillId="16" borderId="19" xfId="70" applyNumberFormat="1" applyFont="1" applyFill="1" applyBorder="1" applyAlignment="1">
      <alignment horizontal="right"/>
    </xf>
    <xf numFmtId="168" fontId="0" fillId="16" borderId="20" xfId="70" applyNumberFormat="1" applyFont="1" applyFill="1" applyBorder="1" applyAlignment="1">
      <alignment horizontal="center"/>
    </xf>
    <xf numFmtId="168" fontId="0" fillId="16" borderId="17" xfId="70" applyNumberFormat="1" applyFont="1" applyFill="1" applyBorder="1" applyAlignment="1">
      <alignment horizontal="right"/>
    </xf>
    <xf numFmtId="168" fontId="0" fillId="16" borderId="18" xfId="70" applyNumberFormat="1" applyFont="1" applyFill="1" applyBorder="1" applyAlignment="1">
      <alignment horizontal="center"/>
    </xf>
    <xf numFmtId="168" fontId="0" fillId="16" borderId="12" xfId="70" applyNumberFormat="1" applyFont="1" applyFill="1" applyBorder="1" applyAlignment="1">
      <alignment horizontal="center"/>
    </xf>
    <xf numFmtId="0" fontId="12" fillId="16" borderId="0" xfId="0" applyFont="1" applyFill="1" applyBorder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27" fillId="16" borderId="16" xfId="0" applyFont="1" applyFill="1" applyBorder="1" applyAlignment="1">
      <alignment horizontal="centerContinuous"/>
    </xf>
    <xf numFmtId="0" fontId="5" fillId="16" borderId="0" xfId="0" applyFont="1" applyFill="1" applyBorder="1" applyAlignment="1">
      <alignment horizontal="centerContinuous"/>
    </xf>
    <xf numFmtId="0" fontId="28" fillId="16" borderId="0" xfId="0" applyFont="1" applyFill="1" applyBorder="1" applyAlignment="1">
      <alignment horizontal="centerContinuous"/>
    </xf>
    <xf numFmtId="0" fontId="5" fillId="16" borderId="15" xfId="0" applyFont="1" applyFill="1" applyBorder="1" applyAlignment="1">
      <alignment horizontal="centerContinuous"/>
    </xf>
    <xf numFmtId="0" fontId="0" fillId="16" borderId="13" xfId="0" applyFont="1" applyFill="1" applyBorder="1" applyAlignment="1">
      <alignment horizontal="centerContinuous"/>
    </xf>
    <xf numFmtId="0" fontId="0" fillId="16" borderId="17" xfId="0" applyFont="1" applyFill="1" applyBorder="1" applyAlignment="1">
      <alignment horizontal="centerContinuous"/>
    </xf>
    <xf numFmtId="0" fontId="0" fillId="16" borderId="18" xfId="0" applyFont="1" applyFill="1" applyBorder="1" applyAlignment="1">
      <alignment horizontal="center"/>
    </xf>
    <xf numFmtId="168" fontId="0" fillId="16" borderId="0" xfId="70" applyNumberFormat="1" applyFont="1" applyFill="1" applyBorder="1" applyAlignment="1">
      <alignment/>
    </xf>
    <xf numFmtId="168" fontId="0" fillId="16" borderId="15" xfId="70" applyNumberFormat="1" applyFont="1" applyFill="1" applyBorder="1" applyAlignment="1">
      <alignment horizontal="right"/>
    </xf>
    <xf numFmtId="168" fontId="0" fillId="16" borderId="18" xfId="70" applyNumberFormat="1" applyFont="1" applyFill="1" applyBorder="1" applyAlignment="1">
      <alignment horizontal="right"/>
    </xf>
    <xf numFmtId="0" fontId="0" fillId="16" borderId="10" xfId="0" applyFont="1" applyFill="1" applyBorder="1" applyAlignment="1">
      <alignment/>
    </xf>
    <xf numFmtId="168" fontId="0" fillId="16" borderId="18" xfId="70" applyNumberFormat="1" applyFont="1" applyFill="1" applyBorder="1" applyAlignment="1">
      <alignment/>
    </xf>
    <xf numFmtId="0" fontId="12" fillId="16" borderId="16" xfId="0" applyFont="1" applyFill="1" applyBorder="1" applyAlignment="1">
      <alignment/>
    </xf>
    <xf numFmtId="0" fontId="20" fillId="16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/>
    </xf>
    <xf numFmtId="0" fontId="20" fillId="16" borderId="16" xfId="0" applyFont="1" applyFill="1" applyBorder="1" applyAlignment="1">
      <alignment/>
    </xf>
    <xf numFmtId="0" fontId="0" fillId="16" borderId="17" xfId="0" applyFont="1" applyFill="1" applyBorder="1" applyAlignment="1">
      <alignment/>
    </xf>
    <xf numFmtId="0" fontId="0" fillId="16" borderId="18" xfId="0" applyFont="1" applyFill="1" applyBorder="1" applyAlignment="1">
      <alignment/>
    </xf>
    <xf numFmtId="168" fontId="0" fillId="16" borderId="15" xfId="70" applyNumberFormat="1" applyFont="1" applyFill="1" applyBorder="1" applyAlignment="1">
      <alignment horizontal="center"/>
    </xf>
    <xf numFmtId="16" fontId="15" fillId="16" borderId="15" xfId="0" applyNumberFormat="1" applyFont="1" applyFill="1" applyBorder="1" applyAlignment="1">
      <alignment horizontal="center"/>
    </xf>
    <xf numFmtId="168" fontId="0" fillId="0" borderId="23" xfId="70" applyNumberFormat="1" applyFont="1" applyBorder="1" applyAlignment="1">
      <alignment horizontal="center" vertical="center"/>
    </xf>
    <xf numFmtId="1" fontId="8" fillId="43" borderId="11" xfId="0" applyNumberFormat="1" applyFont="1" applyFill="1" applyBorder="1" applyAlignment="1">
      <alignment horizontal="center" vertical="center"/>
    </xf>
    <xf numFmtId="168" fontId="8" fillId="19" borderId="26" xfId="70" applyNumberFormat="1" applyFont="1" applyFill="1" applyBorder="1" applyAlignment="1">
      <alignment horizontal="right" vertical="center"/>
    </xf>
    <xf numFmtId="168" fontId="8" fillId="19" borderId="33" xfId="70" applyNumberFormat="1" applyFont="1" applyFill="1" applyBorder="1" applyAlignment="1">
      <alignment horizontal="right" vertical="center"/>
    </xf>
    <xf numFmtId="0" fontId="12" fillId="16" borderId="19" xfId="0" applyFont="1" applyFill="1" applyBorder="1" applyAlignment="1">
      <alignment/>
    </xf>
    <xf numFmtId="49" fontId="24" fillId="16" borderId="19" xfId="56" applyNumberFormat="1" applyFont="1" applyFill="1" applyBorder="1" applyAlignment="1">
      <alignment horizontal="left" vertical="center" indent="1"/>
      <protection/>
    </xf>
    <xf numFmtId="171" fontId="22" fillId="16" borderId="19" xfId="58" applyNumberFormat="1" applyFont="1" applyFill="1" applyBorder="1" applyAlignment="1">
      <alignment horizontal="right" vertical="center"/>
    </xf>
    <xf numFmtId="2" fontId="0" fillId="16" borderId="19" xfId="0" applyNumberFormat="1" applyFill="1" applyBorder="1" applyAlignment="1">
      <alignment/>
    </xf>
    <xf numFmtId="175" fontId="8" fillId="0" borderId="11" xfId="70" applyNumberFormat="1" applyFont="1" applyFill="1" applyBorder="1" applyAlignment="1" applyProtection="1">
      <alignment horizontal="center" vertical="center"/>
      <protection/>
    </xf>
    <xf numFmtId="175" fontId="8" fillId="0" borderId="17" xfId="7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>
      <alignment/>
    </xf>
    <xf numFmtId="0" fontId="0" fillId="37" borderId="0" xfId="0" applyFont="1" applyFill="1" applyAlignment="1">
      <alignment vertical="center"/>
    </xf>
    <xf numFmtId="0" fontId="0" fillId="16" borderId="0" xfId="0" applyFont="1" applyFill="1" applyAlignment="1">
      <alignment vertical="center"/>
    </xf>
    <xf numFmtId="0" fontId="8" fillId="16" borderId="16" xfId="0" applyFont="1" applyFill="1" applyBorder="1" applyAlignment="1">
      <alignment horizontal="center"/>
    </xf>
    <xf numFmtId="0" fontId="36" fillId="16" borderId="16" xfId="52" applyFont="1" applyFill="1" applyBorder="1" applyAlignment="1">
      <alignment horizontal="center" vertical="center"/>
      <protection/>
    </xf>
    <xf numFmtId="0" fontId="30" fillId="16" borderId="16" xfId="0" applyFont="1" applyFill="1" applyBorder="1" applyAlignment="1">
      <alignment vertical="center"/>
    </xf>
    <xf numFmtId="49" fontId="0" fillId="16" borderId="16" xfId="0" applyNumberFormat="1" applyFont="1" applyFill="1" applyBorder="1" applyAlignment="1">
      <alignment vertical="center"/>
    </xf>
    <xf numFmtId="0" fontId="0" fillId="16" borderId="16" xfId="52" applyFont="1" applyFill="1" applyBorder="1">
      <alignment/>
      <protection/>
    </xf>
    <xf numFmtId="0" fontId="0" fillId="16" borderId="16" xfId="52" applyFont="1" applyFill="1" applyBorder="1" applyAlignment="1">
      <alignment horizontal="center"/>
      <protection/>
    </xf>
    <xf numFmtId="0" fontId="36" fillId="16" borderId="0" xfId="52" applyFont="1" applyFill="1" applyBorder="1" applyAlignment="1">
      <alignment horizontal="center" vertical="center"/>
      <protection/>
    </xf>
    <xf numFmtId="0" fontId="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167" fontId="8" fillId="0" borderId="26" xfId="70" applyNumberFormat="1" applyFont="1" applyFill="1" applyBorder="1" applyAlignment="1">
      <alignment vertical="center"/>
    </xf>
    <xf numFmtId="167" fontId="29" fillId="0" borderId="26" xfId="70" applyNumberFormat="1" applyFont="1" applyFill="1" applyBorder="1" applyAlignment="1">
      <alignment vertical="center"/>
    </xf>
    <xf numFmtId="167" fontId="8" fillId="0" borderId="26" xfId="0" applyNumberFormat="1" applyFont="1" applyFill="1" applyBorder="1" applyAlignment="1">
      <alignment horizontal="right"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0" fontId="8" fillId="0" borderId="32" xfId="0" applyFont="1" applyBorder="1" applyAlignment="1">
      <alignment/>
    </xf>
    <xf numFmtId="167" fontId="8" fillId="0" borderId="26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0" fontId="2" fillId="16" borderId="0" xfId="0" applyFont="1" applyFill="1" applyBorder="1" applyAlignment="1">
      <alignment/>
    </xf>
    <xf numFmtId="0" fontId="4" fillId="16" borderId="0" xfId="0" applyFont="1" applyFill="1" applyBorder="1" applyAlignment="1">
      <alignment horizontal="center"/>
    </xf>
    <xf numFmtId="168" fontId="4" fillId="16" borderId="0" xfId="70" applyNumberFormat="1" applyFont="1" applyFill="1" applyBorder="1" applyAlignment="1">
      <alignment/>
    </xf>
    <xf numFmtId="0" fontId="2" fillId="16" borderId="0" xfId="0" applyFont="1" applyFill="1" applyBorder="1" applyAlignment="1">
      <alignment horizontal="center"/>
    </xf>
    <xf numFmtId="166" fontId="4" fillId="16" borderId="0" xfId="70" applyNumberFormat="1" applyFont="1" applyFill="1" applyBorder="1" applyAlignment="1">
      <alignment horizontal="center"/>
    </xf>
    <xf numFmtId="2" fontId="2" fillId="16" borderId="0" xfId="0" applyNumberFormat="1" applyFont="1" applyFill="1" applyBorder="1" applyAlignment="1">
      <alignment horizontal="center"/>
    </xf>
    <xf numFmtId="0" fontId="46" fillId="16" borderId="0" xfId="0" applyFont="1" applyFill="1" applyBorder="1" applyAlignment="1">
      <alignment/>
    </xf>
    <xf numFmtId="177" fontId="46" fillId="16" borderId="0" xfId="0" applyNumberFormat="1" applyFont="1" applyFill="1" applyBorder="1" applyAlignment="1">
      <alignment/>
    </xf>
    <xf numFmtId="0" fontId="10" fillId="16" borderId="0" xfId="0" applyFont="1" applyFill="1" applyBorder="1" applyAlignment="1">
      <alignment/>
    </xf>
    <xf numFmtId="22" fontId="2" fillId="16" borderId="0" xfId="0" applyNumberFormat="1" applyFont="1" applyFill="1" applyBorder="1" applyAlignment="1">
      <alignment/>
    </xf>
    <xf numFmtId="169" fontId="47" fillId="16" borderId="18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center"/>
    </xf>
    <xf numFmtId="175" fontId="0" fillId="0" borderId="17" xfId="70" applyNumberFormat="1" applyFont="1" applyFill="1" applyBorder="1" applyAlignment="1" applyProtection="1">
      <alignment horizontal="center" vertical="center"/>
      <protection/>
    </xf>
    <xf numFmtId="173" fontId="0" fillId="0" borderId="23" xfId="70" applyNumberFormat="1" applyFont="1" applyBorder="1" applyAlignment="1">
      <alignment horizontal="right" vertical="center"/>
    </xf>
    <xf numFmtId="173" fontId="0" fillId="0" borderId="0" xfId="7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16" borderId="0" xfId="0" applyFont="1" applyFill="1" applyBorder="1" applyAlignment="1">
      <alignment horizontal="center"/>
    </xf>
    <xf numFmtId="0" fontId="18" fillId="19" borderId="0" xfId="0" applyFont="1" applyFill="1" applyBorder="1" applyAlignment="1">
      <alignment horizontal="centerContinuous"/>
    </xf>
    <xf numFmtId="1" fontId="18" fillId="19" borderId="14" xfId="0" applyNumberFormat="1" applyFont="1" applyFill="1" applyBorder="1" applyAlignment="1">
      <alignment horizontal="center"/>
    </xf>
    <xf numFmtId="1" fontId="18" fillId="19" borderId="21" xfId="0" applyNumberFormat="1" applyFont="1" applyFill="1" applyBorder="1" applyAlignment="1">
      <alignment horizontal="center"/>
    </xf>
    <xf numFmtId="1" fontId="18" fillId="19" borderId="20" xfId="0" applyNumberFormat="1" applyFont="1" applyFill="1" applyBorder="1" applyAlignment="1">
      <alignment horizontal="center"/>
    </xf>
    <xf numFmtId="2" fontId="18" fillId="19" borderId="0" xfId="0" applyNumberFormat="1" applyFont="1" applyFill="1" applyBorder="1" applyAlignment="1">
      <alignment horizontal="centerContinuous"/>
    </xf>
    <xf numFmtId="2" fontId="18" fillId="19" borderId="16" xfId="0" applyNumberFormat="1" applyFont="1" applyFill="1" applyBorder="1" applyAlignment="1">
      <alignment horizontal="centerContinuous"/>
    </xf>
    <xf numFmtId="2" fontId="18" fillId="19" borderId="15" xfId="0" applyNumberFormat="1" applyFont="1" applyFill="1" applyBorder="1" applyAlignment="1">
      <alignment horizontal="centerContinuous"/>
    </xf>
    <xf numFmtId="0" fontId="18" fillId="19" borderId="16" xfId="0" applyFont="1" applyFill="1" applyBorder="1" applyAlignment="1">
      <alignment horizontal="centerContinuous"/>
    </xf>
    <xf numFmtId="0" fontId="18" fillId="19" borderId="15" xfId="0" applyFont="1" applyFill="1" applyBorder="1" applyAlignment="1">
      <alignment horizontal="centerContinuous"/>
    </xf>
    <xf numFmtId="0" fontId="0" fillId="19" borderId="20" xfId="0" applyFont="1" applyFill="1" applyBorder="1" applyAlignment="1">
      <alignment horizontal="left"/>
    </xf>
    <xf numFmtId="0" fontId="0" fillId="19" borderId="15" xfId="0" applyFont="1" applyFill="1" applyBorder="1" applyAlignment="1">
      <alignment horizontal="left"/>
    </xf>
    <xf numFmtId="0" fontId="8" fillId="19" borderId="12" xfId="0" applyFont="1" applyFill="1" applyBorder="1" applyAlignment="1">
      <alignment horizontal="center"/>
    </xf>
    <xf numFmtId="2" fontId="18" fillId="19" borderId="0" xfId="0" applyNumberFormat="1" applyFont="1" applyFill="1" applyBorder="1" applyAlignment="1">
      <alignment horizontal="center"/>
    </xf>
    <xf numFmtId="0" fontId="120" fillId="0" borderId="0" xfId="0" applyFont="1" applyAlignment="1">
      <alignment/>
    </xf>
    <xf numFmtId="0" fontId="5" fillId="16" borderId="0" xfId="0" applyFont="1" applyFill="1" applyAlignment="1">
      <alignment/>
    </xf>
    <xf numFmtId="168" fontId="0" fillId="0" borderId="10" xfId="70" applyNumberFormat="1" applyFont="1" applyBorder="1" applyAlignment="1">
      <alignment/>
    </xf>
    <xf numFmtId="0" fontId="3" fillId="16" borderId="0" xfId="0" applyFont="1" applyFill="1" applyBorder="1" applyAlignment="1">
      <alignment horizontal="center"/>
    </xf>
    <xf numFmtId="0" fontId="3" fillId="16" borderId="15" xfId="0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168" fontId="0" fillId="16" borderId="0" xfId="7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168" fontId="0" fillId="16" borderId="37" xfId="70" applyNumberFormat="1" applyFont="1" applyFill="1" applyBorder="1" applyAlignment="1">
      <alignment/>
    </xf>
    <xf numFmtId="168" fontId="0" fillId="16" borderId="19" xfId="7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16" borderId="13" xfId="0" applyFont="1" applyFill="1" applyBorder="1" applyAlignment="1">
      <alignment/>
    </xf>
    <xf numFmtId="0" fontId="0" fillId="16" borderId="13" xfId="0" applyFont="1" applyFill="1" applyBorder="1" applyAlignment="1">
      <alignment horizontal="center"/>
    </xf>
    <xf numFmtId="0" fontId="27" fillId="16" borderId="38" xfId="0" applyFont="1" applyFill="1" applyBorder="1" applyAlignment="1">
      <alignment horizontal="centerContinuous"/>
    </xf>
    <xf numFmtId="0" fontId="5" fillId="16" borderId="25" xfId="0" applyFont="1" applyFill="1" applyBorder="1" applyAlignment="1">
      <alignment horizontal="centerContinuous"/>
    </xf>
    <xf numFmtId="0" fontId="28" fillId="16" borderId="25" xfId="0" applyFont="1" applyFill="1" applyBorder="1" applyAlignment="1">
      <alignment horizontal="centerContinuous"/>
    </xf>
    <xf numFmtId="0" fontId="28" fillId="16" borderId="30" xfId="0" applyFont="1" applyFill="1" applyBorder="1" applyAlignment="1">
      <alignment horizontal="centerContinuous"/>
    </xf>
    <xf numFmtId="0" fontId="0" fillId="16" borderId="31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/>
    </xf>
    <xf numFmtId="0" fontId="0" fillId="16" borderId="34" xfId="0" applyFont="1" applyFill="1" applyBorder="1" applyAlignment="1">
      <alignment horizontal="center"/>
    </xf>
    <xf numFmtId="0" fontId="0" fillId="16" borderId="31" xfId="0" applyFont="1" applyFill="1" applyBorder="1" applyAlignment="1">
      <alignment/>
    </xf>
    <xf numFmtId="0" fontId="41" fillId="16" borderId="27" xfId="0" applyFont="1" applyFill="1" applyBorder="1" applyAlignment="1">
      <alignment horizontal="center"/>
    </xf>
    <xf numFmtId="0" fontId="121" fillId="16" borderId="15" xfId="0" applyFont="1" applyFill="1" applyBorder="1" applyAlignment="1">
      <alignment/>
    </xf>
    <xf numFmtId="0" fontId="122" fillId="16" borderId="15" xfId="0" applyFont="1" applyFill="1" applyBorder="1" applyAlignment="1">
      <alignment horizontal="center"/>
    </xf>
    <xf numFmtId="0" fontId="120" fillId="16" borderId="15" xfId="0" applyFont="1" applyFill="1" applyBorder="1" applyAlignment="1">
      <alignment horizontal="center" vertical="center" wrapText="1"/>
    </xf>
    <xf numFmtId="164" fontId="0" fillId="0" borderId="0" xfId="70" applyFont="1" applyAlignment="1">
      <alignment/>
    </xf>
    <xf numFmtId="0" fontId="5" fillId="2" borderId="16" xfId="0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168" fontId="0" fillId="0" borderId="10" xfId="70" applyNumberFormat="1" applyFont="1" applyBorder="1" applyAlignment="1">
      <alignment horizontal="center" vertical="center"/>
    </xf>
    <xf numFmtId="164" fontId="0" fillId="33" borderId="10" xfId="70" applyNumberFormat="1" applyFont="1" applyFill="1" applyBorder="1" applyAlignment="1" quotePrefix="1">
      <alignment horizontal="center" vertical="center"/>
    </xf>
    <xf numFmtId="164" fontId="0" fillId="33" borderId="10" xfId="70" applyFont="1" applyFill="1" applyBorder="1" applyAlignment="1" quotePrefix="1">
      <alignment horizontal="center" vertical="center"/>
    </xf>
    <xf numFmtId="168" fontId="0" fillId="0" borderId="34" xfId="70" applyNumberFormat="1" applyFont="1" applyBorder="1" applyAlignment="1">
      <alignment horizontal="center" vertical="center"/>
    </xf>
    <xf numFmtId="3" fontId="8" fillId="34" borderId="26" xfId="0" applyNumberFormat="1" applyFont="1" applyFill="1" applyBorder="1" applyAlignment="1">
      <alignment horizontal="center" vertical="center" wrapText="1"/>
    </xf>
    <xf numFmtId="164" fontId="8" fillId="34" borderId="26" xfId="70" applyNumberFormat="1" applyFont="1" applyFill="1" applyBorder="1" applyAlignment="1" quotePrefix="1">
      <alignment horizontal="center" vertical="center"/>
    </xf>
    <xf numFmtId="164" fontId="8" fillId="34" borderId="26" xfId="70" applyFont="1" applyFill="1" applyBorder="1" applyAlignment="1" quotePrefix="1">
      <alignment horizontal="center" vertical="center"/>
    </xf>
    <xf numFmtId="0" fontId="0" fillId="37" borderId="0" xfId="0" applyFont="1" applyFill="1" applyAlignment="1">
      <alignment/>
    </xf>
    <xf numFmtId="168" fontId="0" fillId="0" borderId="12" xfId="70" applyNumberFormat="1" applyFont="1" applyBorder="1" applyAlignment="1">
      <alignment/>
    </xf>
    <xf numFmtId="168" fontId="0" fillId="0" borderId="12" xfId="70" applyNumberFormat="1" applyFont="1" applyBorder="1" applyAlignment="1">
      <alignment horizontal="left" vertical="center"/>
    </xf>
    <xf numFmtId="168" fontId="0" fillId="0" borderId="11" xfId="70" applyNumberFormat="1" applyFont="1" applyBorder="1" applyAlignment="1">
      <alignment horizontal="center" vertical="center"/>
    </xf>
    <xf numFmtId="168" fontId="0" fillId="36" borderId="10" xfId="70" applyNumberFormat="1" applyFont="1" applyFill="1" applyBorder="1" applyAlignment="1">
      <alignment horizontal="right" vertical="center"/>
    </xf>
    <xf numFmtId="168" fontId="0" fillId="36" borderId="11" xfId="70" applyNumberFormat="1" applyFont="1" applyFill="1" applyBorder="1" applyAlignment="1">
      <alignment horizontal="center" vertical="center"/>
    </xf>
    <xf numFmtId="168" fontId="0" fillId="0" borderId="18" xfId="70" applyNumberFormat="1" applyFont="1" applyBorder="1" applyAlignment="1">
      <alignment horizontal="left" vertical="center"/>
    </xf>
    <xf numFmtId="168" fontId="0" fillId="0" borderId="23" xfId="70" applyNumberFormat="1" applyFont="1" applyBorder="1" applyAlignment="1">
      <alignment horizontal="center" vertical="center"/>
    </xf>
    <xf numFmtId="168" fontId="0" fillId="0" borderId="23" xfId="70" applyNumberFormat="1" applyFont="1" applyBorder="1" applyAlignment="1">
      <alignment horizontal="right" vertical="center"/>
    </xf>
    <xf numFmtId="168" fontId="0" fillId="0" borderId="17" xfId="70" applyNumberFormat="1" applyFont="1" applyBorder="1" applyAlignment="1">
      <alignment horizontal="center" vertical="center"/>
    </xf>
    <xf numFmtId="168" fontId="0" fillId="0" borderId="34" xfId="70" applyNumberFormat="1" applyFont="1" applyBorder="1" applyAlignment="1">
      <alignment horizontal="right" vertical="center"/>
    </xf>
    <xf numFmtId="168" fontId="0" fillId="0" borderId="35" xfId="70" applyNumberFormat="1" applyFont="1" applyBorder="1" applyAlignment="1">
      <alignment horizontal="center" vertical="center"/>
    </xf>
    <xf numFmtId="168" fontId="8" fillId="34" borderId="31" xfId="70" applyNumberFormat="1" applyFont="1" applyFill="1" applyBorder="1" applyAlignment="1">
      <alignment horizontal="center" vertical="center"/>
    </xf>
    <xf numFmtId="168" fontId="8" fillId="19" borderId="31" xfId="70" applyNumberFormat="1" applyFont="1" applyFill="1" applyBorder="1" applyAlignment="1">
      <alignment horizontal="right" vertical="center"/>
    </xf>
    <xf numFmtId="168" fontId="8" fillId="19" borderId="38" xfId="7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68" fontId="8" fillId="44" borderId="26" xfId="70" applyNumberFormat="1" applyFont="1" applyFill="1" applyBorder="1" applyAlignment="1">
      <alignment/>
    </xf>
    <xf numFmtId="0" fontId="0" fillId="0" borderId="0" xfId="0" applyFont="1" applyAlignment="1">
      <alignment/>
    </xf>
    <xf numFmtId="168" fontId="123" fillId="0" borderId="26" xfId="70" applyNumberFormat="1" applyFont="1" applyBorder="1" applyAlignment="1">
      <alignment/>
    </xf>
    <xf numFmtId="166" fontId="8" fillId="0" borderId="26" xfId="70" applyNumberFormat="1" applyFont="1" applyBorder="1" applyAlignment="1">
      <alignment/>
    </xf>
    <xf numFmtId="168" fontId="0" fillId="16" borderId="15" xfId="70" applyNumberFormat="1" applyFont="1" applyFill="1" applyBorder="1" applyAlignment="1">
      <alignment/>
    </xf>
    <xf numFmtId="164" fontId="0" fillId="16" borderId="29" xfId="70" applyNumberFormat="1" applyFont="1" applyFill="1" applyBorder="1" applyAlignment="1">
      <alignment/>
    </xf>
    <xf numFmtId="164" fontId="0" fillId="16" borderId="22" xfId="70" applyNumberFormat="1" applyFont="1" applyFill="1" applyBorder="1" applyAlignment="1">
      <alignment/>
    </xf>
    <xf numFmtId="166" fontId="0" fillId="16" borderId="0" xfId="70" applyNumberFormat="1" applyFont="1" applyFill="1" applyBorder="1" applyAlignment="1">
      <alignment horizontal="center" vertical="center"/>
    </xf>
    <xf numFmtId="166" fontId="0" fillId="16" borderId="22" xfId="70" applyNumberFormat="1" applyFont="1" applyFill="1" applyBorder="1" applyAlignment="1">
      <alignment/>
    </xf>
    <xf numFmtId="168" fontId="0" fillId="16" borderId="23" xfId="70" applyNumberFormat="1" applyFont="1" applyFill="1" applyBorder="1" applyAlignment="1">
      <alignment/>
    </xf>
    <xf numFmtId="164" fontId="0" fillId="16" borderId="23" xfId="70" applyNumberFormat="1" applyFont="1" applyFill="1" applyBorder="1" applyAlignment="1">
      <alignment/>
    </xf>
    <xf numFmtId="166" fontId="0" fillId="16" borderId="23" xfId="70" applyNumberFormat="1" applyFont="1" applyFill="1" applyBorder="1" applyAlignment="1">
      <alignment/>
    </xf>
    <xf numFmtId="166" fontId="0" fillId="16" borderId="19" xfId="70" applyNumberFormat="1" applyFont="1" applyFill="1" applyBorder="1" applyAlignment="1">
      <alignment horizontal="center" vertical="center"/>
    </xf>
    <xf numFmtId="168" fontId="0" fillId="16" borderId="18" xfId="70" applyNumberFormat="1" applyFont="1" applyFill="1" applyBorder="1" applyAlignment="1">
      <alignment/>
    </xf>
    <xf numFmtId="0" fontId="120" fillId="0" borderId="0" xfId="0" applyFont="1" applyBorder="1" applyAlignment="1">
      <alignment/>
    </xf>
    <xf numFmtId="164" fontId="8" fillId="36" borderId="34" xfId="70" applyFont="1" applyFill="1" applyBorder="1" applyAlignment="1">
      <alignment/>
    </xf>
    <xf numFmtId="164" fontId="8" fillId="36" borderId="35" xfId="70" applyFont="1" applyFill="1" applyBorder="1" applyAlignment="1">
      <alignment/>
    </xf>
    <xf numFmtId="39" fontId="8" fillId="0" borderId="0" xfId="0" applyNumberFormat="1" applyFont="1" applyBorder="1" applyAlignment="1" applyProtection="1">
      <alignment vertical="center"/>
      <protection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4" fillId="36" borderId="32" xfId="0" applyFont="1" applyFill="1" applyBorder="1" applyAlignment="1">
      <alignment horizontal="center"/>
    </xf>
    <xf numFmtId="164" fontId="125" fillId="0" borderId="26" xfId="70" applyNumberFormat="1" applyFont="1" applyBorder="1" applyAlignment="1">
      <alignment/>
    </xf>
    <xf numFmtId="168" fontId="125" fillId="0" borderId="26" xfId="70" applyNumberFormat="1" applyFont="1" applyBorder="1" applyAlignment="1">
      <alignment/>
    </xf>
    <xf numFmtId="166" fontId="125" fillId="0" borderId="31" xfId="70" applyNumberFormat="1" applyFont="1" applyBorder="1" applyAlignment="1">
      <alignment/>
    </xf>
    <xf numFmtId="166" fontId="125" fillId="0" borderId="26" xfId="70" applyNumberFormat="1" applyFont="1" applyBorder="1" applyAlignment="1">
      <alignment/>
    </xf>
    <xf numFmtId="0" fontId="124" fillId="0" borderId="32" xfId="0" applyFont="1" applyBorder="1" applyAlignment="1">
      <alignment horizontal="center" vertical="center" wrapText="1"/>
    </xf>
    <xf numFmtId="164" fontId="125" fillId="0" borderId="26" xfId="70" applyFont="1" applyBorder="1" applyAlignment="1">
      <alignment/>
    </xf>
    <xf numFmtId="164" fontId="125" fillId="0" borderId="26" xfId="70" applyNumberFormat="1" applyFont="1" applyBorder="1" applyAlignment="1">
      <alignment vertical="center"/>
    </xf>
    <xf numFmtId="0" fontId="0" fillId="16" borderId="15" xfId="0" applyFont="1" applyFill="1" applyBorder="1" applyAlignment="1">
      <alignment vertical="center" wrapText="1"/>
    </xf>
    <xf numFmtId="164" fontId="0" fillId="0" borderId="0" xfId="70" applyNumberFormat="1" applyFont="1" applyFill="1" applyBorder="1" applyAlignment="1">
      <alignment/>
    </xf>
    <xf numFmtId="164" fontId="8" fillId="36" borderId="29" xfId="70" applyFont="1" applyFill="1" applyBorder="1" applyAlignment="1">
      <alignment/>
    </xf>
    <xf numFmtId="164" fontId="8" fillId="36" borderId="33" xfId="70" applyFont="1" applyFill="1" applyBorder="1" applyAlignment="1">
      <alignment/>
    </xf>
    <xf numFmtId="0" fontId="8" fillId="10" borderId="12" xfId="0" applyFont="1" applyFill="1" applyBorder="1" applyAlignment="1">
      <alignment horizontal="left" vertical="center" wrapText="1"/>
    </xf>
    <xf numFmtId="164" fontId="8" fillId="10" borderId="10" xfId="70" applyFont="1" applyFill="1" applyBorder="1" applyAlignment="1" applyProtection="1">
      <alignment vertical="center"/>
      <protection/>
    </xf>
    <xf numFmtId="168" fontId="8" fillId="10" borderId="10" xfId="70" applyNumberFormat="1" applyFont="1" applyFill="1" applyBorder="1" applyAlignment="1" applyProtection="1">
      <alignment vertical="center"/>
      <protection/>
    </xf>
    <xf numFmtId="166" fontId="8" fillId="10" borderId="10" xfId="70" applyNumberFormat="1" applyFont="1" applyFill="1" applyBorder="1" applyAlignment="1">
      <alignment/>
    </xf>
    <xf numFmtId="164" fontId="8" fillId="10" borderId="10" xfId="70" applyNumberFormat="1" applyFont="1" applyFill="1" applyBorder="1" applyAlignment="1">
      <alignment/>
    </xf>
    <xf numFmtId="164" fontId="8" fillId="10" borderId="10" xfId="70" applyFont="1" applyFill="1" applyBorder="1" applyAlignment="1">
      <alignment/>
    </xf>
    <xf numFmtId="164" fontId="8" fillId="10" borderId="11" xfId="70" applyFont="1" applyFill="1" applyBorder="1" applyAlignment="1">
      <alignment/>
    </xf>
    <xf numFmtId="164" fontId="0" fillId="10" borderId="22" xfId="70" applyFont="1" applyFill="1" applyBorder="1" applyAlignment="1" applyProtection="1">
      <alignment vertical="center"/>
      <protection/>
    </xf>
    <xf numFmtId="164" fontId="0" fillId="10" borderId="15" xfId="70" applyFont="1" applyFill="1" applyBorder="1" applyAlignment="1" applyProtection="1">
      <alignment vertical="center"/>
      <protection/>
    </xf>
    <xf numFmtId="168" fontId="0" fillId="10" borderId="15" xfId="70" applyNumberFormat="1" applyFont="1" applyFill="1" applyBorder="1" applyAlignment="1">
      <alignment horizontal="center" vertical="center"/>
    </xf>
    <xf numFmtId="168" fontId="0" fillId="10" borderId="22" xfId="70" applyNumberFormat="1" applyFont="1" applyFill="1" applyBorder="1" applyAlignment="1" applyProtection="1">
      <alignment horizontal="center" vertical="center"/>
      <protection/>
    </xf>
    <xf numFmtId="164" fontId="0" fillId="10" borderId="22" xfId="70" applyFont="1" applyFill="1" applyBorder="1" applyAlignment="1">
      <alignment horizontal="center" vertical="center"/>
    </xf>
    <xf numFmtId="166" fontId="0" fillId="10" borderId="22" xfId="70" applyNumberFormat="1" applyFont="1" applyFill="1" applyBorder="1" applyAlignment="1">
      <alignment horizontal="center" vertical="center"/>
    </xf>
    <xf numFmtId="164" fontId="0" fillId="10" borderId="15" xfId="70" applyFont="1" applyFill="1" applyBorder="1" applyAlignment="1">
      <alignment horizontal="center" vertical="center"/>
    </xf>
    <xf numFmtId="166" fontId="0" fillId="10" borderId="0" xfId="70" applyNumberFormat="1" applyFont="1" applyFill="1" applyBorder="1" applyAlignment="1">
      <alignment horizontal="center" vertical="center"/>
    </xf>
    <xf numFmtId="168" fontId="0" fillId="10" borderId="22" xfId="70" applyNumberFormat="1" applyFont="1" applyFill="1" applyBorder="1" applyAlignment="1">
      <alignment vertical="center"/>
    </xf>
    <xf numFmtId="168" fontId="0" fillId="10" borderId="22" xfId="70" applyNumberFormat="1" applyFont="1" applyFill="1" applyBorder="1" applyAlignment="1" applyProtection="1">
      <alignment vertical="center"/>
      <protection/>
    </xf>
    <xf numFmtId="164" fontId="0" fillId="10" borderId="22" xfId="70" applyFont="1" applyFill="1" applyBorder="1" applyAlignment="1">
      <alignment vertical="center"/>
    </xf>
    <xf numFmtId="164" fontId="0" fillId="10" borderId="15" xfId="70" applyNumberFormat="1" applyFont="1" applyFill="1" applyBorder="1" applyAlignment="1">
      <alignment horizontal="center" vertical="center"/>
    </xf>
    <xf numFmtId="164" fontId="0" fillId="10" borderId="22" xfId="70" applyNumberFormat="1" applyFont="1" applyFill="1" applyBorder="1" applyAlignment="1">
      <alignment horizontal="center" vertical="center"/>
    </xf>
    <xf numFmtId="168" fontId="0" fillId="10" borderId="15" xfId="70" applyNumberFormat="1" applyFont="1" applyFill="1" applyBorder="1" applyAlignment="1">
      <alignment/>
    </xf>
    <xf numFmtId="168" fontId="0" fillId="10" borderId="22" xfId="70" applyNumberFormat="1" applyFont="1" applyFill="1" applyBorder="1" applyAlignment="1">
      <alignment/>
    </xf>
    <xf numFmtId="164" fontId="0" fillId="10" borderId="22" xfId="70" applyNumberFormat="1" applyFont="1" applyFill="1" applyBorder="1" applyAlignment="1">
      <alignment/>
    </xf>
    <xf numFmtId="166" fontId="0" fillId="10" borderId="15" xfId="70" applyNumberFormat="1" applyFont="1" applyFill="1" applyBorder="1" applyAlignment="1">
      <alignment/>
    </xf>
    <xf numFmtId="166" fontId="0" fillId="10" borderId="22" xfId="70" applyNumberFormat="1" applyFont="1" applyFill="1" applyBorder="1" applyAlignment="1">
      <alignment/>
    </xf>
    <xf numFmtId="164" fontId="0" fillId="10" borderId="15" xfId="70" applyNumberFormat="1" applyFont="1" applyFill="1" applyBorder="1" applyAlignment="1">
      <alignment/>
    </xf>
    <xf numFmtId="0" fontId="0" fillId="10" borderId="18" xfId="0" applyFont="1" applyFill="1" applyBorder="1" applyAlignment="1">
      <alignment horizontal="left" vertical="center" wrapText="1"/>
    </xf>
    <xf numFmtId="164" fontId="0" fillId="10" borderId="23" xfId="70" applyFont="1" applyFill="1" applyBorder="1" applyAlignment="1" applyProtection="1">
      <alignment vertical="center"/>
      <protection/>
    </xf>
    <xf numFmtId="168" fontId="0" fillId="10" borderId="23" xfId="70" applyNumberFormat="1" applyFont="1" applyFill="1" applyBorder="1" applyAlignment="1">
      <alignment/>
    </xf>
    <xf numFmtId="164" fontId="0" fillId="10" borderId="23" xfId="70" applyNumberFormat="1" applyFont="1" applyFill="1" applyBorder="1" applyAlignment="1">
      <alignment/>
    </xf>
    <xf numFmtId="166" fontId="0" fillId="10" borderId="23" xfId="70" applyNumberFormat="1" applyFont="1" applyFill="1" applyBorder="1" applyAlignment="1">
      <alignment/>
    </xf>
    <xf numFmtId="166" fontId="0" fillId="10" borderId="19" xfId="70" applyNumberFormat="1" applyFont="1" applyFill="1" applyBorder="1" applyAlignment="1">
      <alignment horizontal="center" vertical="center"/>
    </xf>
    <xf numFmtId="164" fontId="8" fillId="10" borderId="10" xfId="70" applyNumberFormat="1" applyFont="1" applyFill="1" applyBorder="1" applyAlignment="1">
      <alignment vertical="center"/>
    </xf>
    <xf numFmtId="164" fontId="0" fillId="10" borderId="10" xfId="70" applyFont="1" applyFill="1" applyBorder="1" applyAlignment="1" applyProtection="1">
      <alignment vertical="center"/>
      <protection/>
    </xf>
    <xf numFmtId="164" fontId="0" fillId="10" borderId="12" xfId="70" applyFont="1" applyFill="1" applyBorder="1" applyAlignment="1" applyProtection="1">
      <alignment vertical="center"/>
      <protection/>
    </xf>
    <xf numFmtId="168" fontId="0" fillId="10" borderId="12" xfId="70" applyNumberFormat="1" applyFont="1" applyFill="1" applyBorder="1" applyAlignment="1">
      <alignment/>
    </xf>
    <xf numFmtId="168" fontId="0" fillId="10" borderId="10" xfId="70" applyNumberFormat="1" applyFont="1" applyFill="1" applyBorder="1" applyAlignment="1">
      <alignment/>
    </xf>
    <xf numFmtId="164" fontId="0" fillId="10" borderId="10" xfId="70" applyFont="1" applyFill="1" applyBorder="1" applyAlignment="1">
      <alignment/>
    </xf>
    <xf numFmtId="166" fontId="0" fillId="10" borderId="10" xfId="70" applyNumberFormat="1" applyFont="1" applyFill="1" applyBorder="1" applyAlignment="1">
      <alignment/>
    </xf>
    <xf numFmtId="164" fontId="0" fillId="10" borderId="10" xfId="70" applyNumberFormat="1" applyFont="1" applyFill="1" applyBorder="1" applyAlignment="1">
      <alignment/>
    </xf>
    <xf numFmtId="166" fontId="0" fillId="10" borderId="24" xfId="70" applyNumberFormat="1" applyFont="1" applyFill="1" applyBorder="1" applyAlignment="1">
      <alignment horizontal="center" vertical="center"/>
    </xf>
    <xf numFmtId="164" fontId="0" fillId="10" borderId="18" xfId="70" applyFont="1" applyFill="1" applyBorder="1" applyAlignment="1" applyProtection="1">
      <alignment vertical="center"/>
      <protection/>
    </xf>
    <xf numFmtId="168" fontId="0" fillId="10" borderId="18" xfId="70" applyNumberFormat="1" applyFont="1" applyFill="1" applyBorder="1" applyAlignment="1">
      <alignment/>
    </xf>
    <xf numFmtId="0" fontId="8" fillId="10" borderId="30" xfId="0" applyFont="1" applyFill="1" applyBorder="1" applyAlignment="1">
      <alignment horizontal="left" vertical="center" wrapText="1"/>
    </xf>
    <xf numFmtId="164" fontId="8" fillId="10" borderId="31" xfId="70" applyFont="1" applyFill="1" applyBorder="1" applyAlignment="1" applyProtection="1">
      <alignment vertical="center"/>
      <protection/>
    </xf>
    <xf numFmtId="168" fontId="8" fillId="10" borderId="31" xfId="70" applyNumberFormat="1" applyFont="1" applyFill="1" applyBorder="1" applyAlignment="1" applyProtection="1">
      <alignment vertical="center"/>
      <protection/>
    </xf>
    <xf numFmtId="166" fontId="8" fillId="10" borderId="23" xfId="70" applyNumberFormat="1" applyFont="1" applyFill="1" applyBorder="1" applyAlignment="1">
      <alignment/>
    </xf>
    <xf numFmtId="165" fontId="8" fillId="10" borderId="31" xfId="70" applyNumberFormat="1" applyFont="1" applyFill="1" applyBorder="1" applyAlignment="1">
      <alignment/>
    </xf>
    <xf numFmtId="164" fontId="8" fillId="10" borderId="23" xfId="70" applyNumberFormat="1" applyFont="1" applyFill="1" applyBorder="1" applyAlignment="1">
      <alignment vertical="center"/>
    </xf>
    <xf numFmtId="164" fontId="8" fillId="10" borderId="31" xfId="70" applyFont="1" applyFill="1" applyBorder="1" applyAlignment="1">
      <alignment/>
    </xf>
    <xf numFmtId="164" fontId="8" fillId="10" borderId="38" xfId="70" applyFont="1" applyFill="1" applyBorder="1" applyAlignment="1">
      <alignment/>
    </xf>
    <xf numFmtId="164" fontId="0" fillId="10" borderId="28" xfId="70" applyNumberFormat="1" applyFont="1" applyFill="1" applyBorder="1" applyAlignment="1" applyProtection="1">
      <alignment vertical="center"/>
      <protection/>
    </xf>
    <xf numFmtId="168" fontId="0" fillId="10" borderId="28" xfId="70" applyNumberFormat="1" applyFont="1" applyFill="1" applyBorder="1" applyAlignment="1" applyProtection="1">
      <alignment vertical="center"/>
      <protection/>
    </xf>
    <xf numFmtId="166" fontId="0" fillId="10" borderId="28" xfId="70" applyNumberFormat="1" applyFont="1" applyFill="1" applyBorder="1" applyAlignment="1">
      <alignment/>
    </xf>
    <xf numFmtId="164" fontId="0" fillId="10" borderId="28" xfId="70" applyNumberFormat="1" applyFont="1" applyFill="1" applyBorder="1" applyAlignment="1">
      <alignment/>
    </xf>
    <xf numFmtId="166" fontId="0" fillId="10" borderId="37" xfId="70" applyNumberFormat="1" applyFont="1" applyFill="1" applyBorder="1" applyAlignment="1">
      <alignment horizontal="center" vertical="center"/>
    </xf>
    <xf numFmtId="164" fontId="8" fillId="10" borderId="31" xfId="70" applyNumberFormat="1" applyFont="1" applyFill="1" applyBorder="1" applyAlignment="1" applyProtection="1">
      <alignment vertical="center"/>
      <protection/>
    </xf>
    <xf numFmtId="166" fontId="8" fillId="10" borderId="31" xfId="70" applyNumberFormat="1" applyFont="1" applyFill="1" applyBorder="1" applyAlignment="1">
      <alignment/>
    </xf>
    <xf numFmtId="166" fontId="8" fillId="10" borderId="34" xfId="70" applyNumberFormat="1" applyFont="1" applyFill="1" applyBorder="1" applyAlignment="1">
      <alignment/>
    </xf>
    <xf numFmtId="164" fontId="8" fillId="10" borderId="31" xfId="70" applyNumberFormat="1" applyFont="1" applyFill="1" applyBorder="1" applyAlignment="1">
      <alignment/>
    </xf>
    <xf numFmtId="164" fontId="8" fillId="10" borderId="34" xfId="70" applyFont="1" applyFill="1" applyBorder="1" applyAlignment="1">
      <alignment/>
    </xf>
    <xf numFmtId="164" fontId="8" fillId="10" borderId="35" xfId="70" applyFont="1" applyFill="1" applyBorder="1" applyAlignment="1">
      <alignment/>
    </xf>
    <xf numFmtId="164" fontId="0" fillId="10" borderId="29" xfId="70" applyFont="1" applyFill="1" applyBorder="1" applyAlignment="1" applyProtection="1">
      <alignment vertical="center"/>
      <protection/>
    </xf>
    <xf numFmtId="168" fontId="0" fillId="10" borderId="29" xfId="0" applyNumberFormat="1" applyFont="1" applyFill="1" applyBorder="1" applyAlignment="1">
      <alignment/>
    </xf>
    <xf numFmtId="166" fontId="0" fillId="10" borderId="29" xfId="70" applyNumberFormat="1" applyFont="1" applyFill="1" applyBorder="1" applyAlignment="1">
      <alignment/>
    </xf>
    <xf numFmtId="164" fontId="0" fillId="10" borderId="29" xfId="70" applyFont="1" applyFill="1" applyBorder="1" applyAlignment="1">
      <alignment/>
    </xf>
    <xf numFmtId="164" fontId="0" fillId="10" borderId="0" xfId="70" applyFont="1" applyFill="1" applyBorder="1" applyAlignment="1">
      <alignment/>
    </xf>
    <xf numFmtId="0" fontId="13" fillId="10" borderId="15" xfId="0" applyFont="1" applyFill="1" applyBorder="1" applyAlignment="1">
      <alignment horizontal="left" vertical="center" wrapText="1" indent="2"/>
    </xf>
    <xf numFmtId="166" fontId="120" fillId="10" borderId="22" xfId="70" applyNumberFormat="1" applyFont="1" applyFill="1" applyBorder="1" applyAlignment="1">
      <alignment/>
    </xf>
    <xf numFmtId="164" fontId="0" fillId="10" borderId="22" xfId="70" applyFont="1" applyFill="1" applyBorder="1" applyAlignment="1">
      <alignment/>
    </xf>
    <xf numFmtId="0" fontId="8" fillId="10" borderId="36" xfId="0" applyFont="1" applyFill="1" applyBorder="1" applyAlignment="1">
      <alignment horizontal="left" vertical="center" wrapText="1"/>
    </xf>
    <xf numFmtId="164" fontId="8" fillId="10" borderId="34" xfId="0" applyNumberFormat="1" applyFont="1" applyFill="1" applyBorder="1" applyAlignment="1">
      <alignment/>
    </xf>
    <xf numFmtId="168" fontId="8" fillId="10" borderId="34" xfId="0" applyNumberFormat="1" applyFont="1" applyFill="1" applyBorder="1" applyAlignment="1">
      <alignment/>
    </xf>
    <xf numFmtId="168" fontId="0" fillId="16" borderId="28" xfId="70" applyNumberFormat="1" applyFont="1" applyFill="1" applyBorder="1" applyAlignment="1">
      <alignment/>
    </xf>
    <xf numFmtId="166" fontId="0" fillId="16" borderId="28" xfId="70" applyNumberFormat="1" applyFont="1" applyFill="1" applyBorder="1" applyAlignment="1">
      <alignment/>
    </xf>
    <xf numFmtId="164" fontId="0" fillId="16" borderId="28" xfId="70" applyFont="1" applyFill="1" applyBorder="1" applyAlignment="1">
      <alignment/>
    </xf>
    <xf numFmtId="166" fontId="0" fillId="16" borderId="37" xfId="70" applyNumberFormat="1" applyFont="1" applyFill="1" applyBorder="1" applyAlignment="1">
      <alignment horizontal="center" vertical="center"/>
    </xf>
    <xf numFmtId="0" fontId="8" fillId="16" borderId="30" xfId="0" applyFont="1" applyFill="1" applyBorder="1" applyAlignment="1">
      <alignment horizontal="left" vertical="center" wrapText="1"/>
    </xf>
    <xf numFmtId="164" fontId="8" fillId="16" borderId="31" xfId="70" applyFont="1" applyFill="1" applyBorder="1" applyAlignment="1" applyProtection="1">
      <alignment vertical="center"/>
      <protection/>
    </xf>
    <xf numFmtId="168" fontId="8" fillId="16" borderId="31" xfId="70" applyNumberFormat="1" applyFont="1" applyFill="1" applyBorder="1" applyAlignment="1" applyProtection="1">
      <alignment vertical="center"/>
      <protection/>
    </xf>
    <xf numFmtId="166" fontId="8" fillId="16" borderId="31" xfId="70" applyNumberFormat="1" applyFont="1" applyFill="1" applyBorder="1" applyAlignment="1">
      <alignment/>
    </xf>
    <xf numFmtId="166" fontId="8" fillId="16" borderId="34" xfId="70" applyNumberFormat="1" applyFont="1" applyFill="1" applyBorder="1" applyAlignment="1">
      <alignment/>
    </xf>
    <xf numFmtId="164" fontId="8" fillId="16" borderId="31" xfId="70" applyNumberFormat="1" applyFont="1" applyFill="1" applyBorder="1" applyAlignment="1">
      <alignment/>
    </xf>
    <xf numFmtId="164" fontId="8" fillId="16" borderId="34" xfId="70" applyFont="1" applyFill="1" applyBorder="1" applyAlignment="1">
      <alignment/>
    </xf>
    <xf numFmtId="164" fontId="8" fillId="16" borderId="35" xfId="70" applyFont="1" applyFill="1" applyBorder="1" applyAlignment="1">
      <alignment/>
    </xf>
    <xf numFmtId="164" fontId="0" fillId="16" borderId="28" xfId="70" applyNumberFormat="1" applyFont="1" applyFill="1" applyBorder="1" applyAlignment="1" applyProtection="1">
      <alignment vertical="center"/>
      <protection/>
    </xf>
    <xf numFmtId="164" fontId="0" fillId="16" borderId="27" xfId="70" applyNumberFormat="1" applyFont="1" applyFill="1" applyBorder="1" applyAlignment="1" applyProtection="1">
      <alignment vertical="center"/>
      <protection/>
    </xf>
    <xf numFmtId="168" fontId="0" fillId="16" borderId="27" xfId="70" applyNumberFormat="1" applyFont="1" applyFill="1" applyBorder="1" applyAlignment="1">
      <alignment/>
    </xf>
    <xf numFmtId="164" fontId="0" fillId="16" borderId="28" xfId="70" applyNumberFormat="1" applyFont="1" applyFill="1" applyBorder="1" applyAlignment="1">
      <alignment/>
    </xf>
    <xf numFmtId="164" fontId="8" fillId="16" borderId="31" xfId="70" applyNumberFormat="1" applyFont="1" applyFill="1" applyBorder="1" applyAlignment="1" applyProtection="1">
      <alignment vertical="center"/>
      <protection/>
    </xf>
    <xf numFmtId="164" fontId="0" fillId="16" borderId="22" xfId="70" applyNumberFormat="1" applyFont="1" applyFill="1" applyBorder="1" applyAlignment="1" applyProtection="1">
      <alignment vertical="center"/>
      <protection/>
    </xf>
    <xf numFmtId="164" fontId="0" fillId="16" borderId="15" xfId="70" applyNumberFormat="1" applyFont="1" applyFill="1" applyBorder="1" applyAlignment="1" applyProtection="1">
      <alignment vertical="center"/>
      <protection/>
    </xf>
    <xf numFmtId="166" fontId="120" fillId="16" borderId="22" xfId="70" applyNumberFormat="1" applyFont="1" applyFill="1" applyBorder="1" applyAlignment="1">
      <alignment/>
    </xf>
    <xf numFmtId="166" fontId="0" fillId="16" borderId="43" xfId="70" applyNumberFormat="1" applyFont="1" applyFill="1" applyBorder="1" applyAlignment="1">
      <alignment horizontal="center" vertical="center"/>
    </xf>
    <xf numFmtId="164" fontId="0" fillId="16" borderId="23" xfId="70" applyNumberFormat="1" applyFont="1" applyFill="1" applyBorder="1" applyAlignment="1" applyProtection="1">
      <alignment vertical="center"/>
      <protection/>
    </xf>
    <xf numFmtId="164" fontId="0" fillId="16" borderId="23" xfId="70" applyNumberFormat="1" applyFont="1" applyFill="1" applyBorder="1" applyAlignment="1">
      <alignment vertical="center"/>
    </xf>
    <xf numFmtId="166" fontId="120" fillId="16" borderId="23" xfId="70" applyNumberFormat="1" applyFont="1" applyFill="1" applyBorder="1" applyAlignment="1">
      <alignment/>
    </xf>
    <xf numFmtId="168" fontId="8" fillId="16" borderId="31" xfId="70" applyNumberFormat="1" applyFont="1" applyFill="1" applyBorder="1" applyAlignment="1">
      <alignment/>
    </xf>
    <xf numFmtId="168" fontId="8" fillId="10" borderId="31" xfId="70" applyNumberFormat="1" applyFont="1" applyFill="1" applyBorder="1" applyAlignment="1">
      <alignment/>
    </xf>
    <xf numFmtId="168" fontId="8" fillId="10" borderId="30" xfId="70" applyNumberFormat="1" applyFont="1" applyFill="1" applyBorder="1" applyAlignment="1">
      <alignment/>
    </xf>
    <xf numFmtId="173" fontId="8" fillId="0" borderId="10" xfId="70" applyNumberFormat="1" applyFont="1" applyFill="1" applyBorder="1" applyAlignment="1" applyProtection="1">
      <alignment vertical="center"/>
      <protection locked="0"/>
    </xf>
    <xf numFmtId="0" fontId="8" fillId="16" borderId="0" xfId="0" applyFont="1" applyFill="1" applyBorder="1" applyAlignment="1">
      <alignment horizontal="center" vertical="center"/>
    </xf>
    <xf numFmtId="173" fontId="8" fillId="0" borderId="10" xfId="7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quotePrefix="1">
      <alignment/>
    </xf>
    <xf numFmtId="173" fontId="8" fillId="0" borderId="23" xfId="70" applyNumberFormat="1" applyFont="1" applyFill="1" applyBorder="1" applyAlignment="1" applyProtection="1">
      <alignment vertical="center"/>
      <protection locked="0"/>
    </xf>
    <xf numFmtId="173" fontId="0" fillId="0" borderId="44" xfId="70" applyNumberFormat="1" applyFont="1" applyFill="1" applyBorder="1" applyAlignment="1" applyProtection="1">
      <alignment vertical="center"/>
      <protection locked="0"/>
    </xf>
    <xf numFmtId="173" fontId="8" fillId="0" borderId="45" xfId="70" applyNumberFormat="1" applyFont="1" applyFill="1" applyBorder="1" applyAlignment="1" applyProtection="1">
      <alignment vertical="center"/>
      <protection locked="0"/>
    </xf>
    <xf numFmtId="173" fontId="8" fillId="0" borderId="46" xfId="70" applyNumberFormat="1" applyFont="1" applyFill="1" applyBorder="1" applyAlignment="1" applyProtection="1">
      <alignment vertical="center"/>
      <protection locked="0"/>
    </xf>
    <xf numFmtId="175" fontId="8" fillId="0" borderId="47" xfId="70" applyNumberFormat="1" applyFont="1" applyFill="1" applyBorder="1" applyAlignment="1" applyProtection="1">
      <alignment horizontal="center" vertical="center"/>
      <protection/>
    </xf>
    <xf numFmtId="173" fontId="8" fillId="0" borderId="46" xfId="70" applyNumberFormat="1" applyFont="1" applyFill="1" applyBorder="1" applyAlignment="1" applyProtection="1">
      <alignment horizontal="center" vertical="center"/>
      <protection/>
    </xf>
    <xf numFmtId="173" fontId="0" fillId="0" borderId="48" xfId="70" applyNumberFormat="1" applyFont="1" applyFill="1" applyBorder="1" applyAlignment="1" applyProtection="1">
      <alignment vertical="center"/>
      <protection/>
    </xf>
    <xf numFmtId="173" fontId="0" fillId="0" borderId="44" xfId="70" applyNumberFormat="1" applyFont="1" applyFill="1" applyBorder="1" applyAlignment="1" applyProtection="1">
      <alignment vertical="center"/>
      <protection/>
    </xf>
    <xf numFmtId="173" fontId="8" fillId="0" borderId="45" xfId="70" applyNumberFormat="1" applyFont="1" applyBorder="1" applyAlignment="1">
      <alignment horizontal="right" vertical="center"/>
    </xf>
    <xf numFmtId="173" fontId="8" fillId="0" borderId="46" xfId="70" applyNumberFormat="1" applyFont="1" applyFill="1" applyBorder="1" applyAlignment="1" applyProtection="1">
      <alignment vertical="center"/>
      <protection/>
    </xf>
    <xf numFmtId="173" fontId="8" fillId="0" borderId="24" xfId="70" applyNumberFormat="1" applyFont="1" applyFill="1" applyBorder="1" applyAlignment="1" applyProtection="1">
      <alignment vertical="center"/>
      <protection/>
    </xf>
    <xf numFmtId="173" fontId="8" fillId="0" borderId="12" xfId="70" applyNumberFormat="1" applyFont="1" applyFill="1" applyBorder="1" applyAlignment="1" applyProtection="1">
      <alignment vertical="center"/>
      <protection/>
    </xf>
    <xf numFmtId="167" fontId="18" fillId="0" borderId="49" xfId="70" applyNumberFormat="1" applyFont="1" applyFill="1" applyBorder="1" applyAlignment="1" applyProtection="1">
      <alignment horizontal="left" vertical="center"/>
      <protection/>
    </xf>
    <xf numFmtId="178" fontId="0" fillId="0" borderId="46" xfId="70" applyNumberFormat="1" applyFont="1" applyFill="1" applyBorder="1" applyAlignment="1">
      <alignment vertical="center"/>
    </xf>
    <xf numFmtId="178" fontId="8" fillId="0" borderId="50" xfId="70" applyNumberFormat="1" applyFont="1" applyFill="1" applyBorder="1" applyAlignment="1">
      <alignment vertical="center"/>
    </xf>
    <xf numFmtId="178" fontId="8" fillId="0" borderId="46" xfId="70" applyNumberFormat="1" applyFont="1" applyFill="1" applyBorder="1" applyAlignment="1">
      <alignment vertical="center"/>
    </xf>
    <xf numFmtId="173" fontId="8" fillId="0" borderId="10" xfId="70" applyNumberFormat="1" applyFont="1" applyFill="1" applyBorder="1" applyAlignment="1" applyProtection="1">
      <alignment vertical="center"/>
      <protection/>
    </xf>
    <xf numFmtId="173" fontId="8" fillId="0" borderId="28" xfId="70" applyNumberFormat="1" applyFont="1" applyFill="1" applyBorder="1" applyAlignment="1" applyProtection="1">
      <alignment horizontal="center" vertical="center"/>
      <protection/>
    </xf>
    <xf numFmtId="173" fontId="8" fillId="0" borderId="37" xfId="70" applyNumberFormat="1" applyFont="1" applyFill="1" applyBorder="1" applyAlignment="1" applyProtection="1">
      <alignment vertical="center"/>
      <protection/>
    </xf>
    <xf numFmtId="175" fontId="8" fillId="0" borderId="51" xfId="70" applyNumberFormat="1" applyFont="1" applyFill="1" applyBorder="1" applyAlignment="1" applyProtection="1">
      <alignment horizontal="center" vertical="center"/>
      <protection/>
    </xf>
    <xf numFmtId="173" fontId="8" fillId="0" borderId="45" xfId="70" applyNumberFormat="1" applyFont="1" applyFill="1" applyBorder="1" applyAlignment="1" applyProtection="1">
      <alignment vertical="center"/>
      <protection/>
    </xf>
    <xf numFmtId="173" fontId="8" fillId="0" borderId="23" xfId="70" applyNumberFormat="1" applyFont="1" applyFill="1" applyBorder="1" applyAlignment="1" applyProtection="1">
      <alignment horizontal="center" vertical="center"/>
      <protection/>
    </xf>
    <xf numFmtId="173" fontId="8" fillId="0" borderId="44" xfId="70" applyNumberFormat="1" applyFont="1" applyFill="1" applyBorder="1" applyAlignment="1" applyProtection="1">
      <alignment vertical="center"/>
      <protection locked="0"/>
    </xf>
    <xf numFmtId="173" fontId="8" fillId="0" borderId="50" xfId="70" applyNumberFormat="1" applyFont="1" applyFill="1" applyBorder="1" applyAlignment="1" applyProtection="1">
      <alignment vertical="center"/>
      <protection locked="0"/>
    </xf>
    <xf numFmtId="173" fontId="8" fillId="0" borderId="28" xfId="70" applyNumberFormat="1" applyFont="1" applyFill="1" applyBorder="1" applyAlignment="1" applyProtection="1">
      <alignment vertical="center"/>
      <protection locked="0"/>
    </xf>
    <xf numFmtId="175" fontId="8" fillId="0" borderId="52" xfId="70" applyNumberFormat="1" applyFont="1" applyFill="1" applyBorder="1" applyAlignment="1" applyProtection="1">
      <alignment horizontal="center" vertical="center"/>
      <protection/>
    </xf>
    <xf numFmtId="173" fontId="8" fillId="0" borderId="28" xfId="70" applyNumberFormat="1" applyFont="1" applyBorder="1" applyAlignment="1">
      <alignment horizontal="right" vertical="center"/>
    </xf>
    <xf numFmtId="173" fontId="8" fillId="0" borderId="10" xfId="70" applyNumberFormat="1" applyFont="1" applyBorder="1" applyAlignment="1">
      <alignment horizontal="right" vertical="center"/>
    </xf>
    <xf numFmtId="173" fontId="0" fillId="0" borderId="50" xfId="70" applyNumberFormat="1" applyFont="1" applyBorder="1" applyAlignment="1">
      <alignment horizontal="right" vertical="center"/>
    </xf>
    <xf numFmtId="173" fontId="0" fillId="0" borderId="28" xfId="70" applyNumberFormat="1" applyFont="1" applyBorder="1" applyAlignment="1">
      <alignment horizontal="right" vertical="center"/>
    </xf>
    <xf numFmtId="175" fontId="0" fillId="0" borderId="52" xfId="70" applyNumberFormat="1" applyFont="1" applyFill="1" applyBorder="1" applyAlignment="1" applyProtection="1">
      <alignment horizontal="center" vertical="center"/>
      <protection/>
    </xf>
    <xf numFmtId="178" fontId="0" fillId="0" borderId="50" xfId="70" applyNumberFormat="1" applyFont="1" applyFill="1" applyBorder="1" applyAlignment="1">
      <alignment vertical="center"/>
    </xf>
    <xf numFmtId="173" fontId="0" fillId="0" borderId="28" xfId="70" applyNumberFormat="1" applyFont="1" applyFill="1" applyBorder="1" applyAlignment="1" applyProtection="1">
      <alignment horizontal="center" vertical="center"/>
      <protection/>
    </xf>
    <xf numFmtId="173" fontId="0" fillId="0" borderId="46" xfId="70" applyNumberFormat="1" applyFont="1" applyBorder="1" applyAlignment="1">
      <alignment horizontal="right" vertical="center"/>
    </xf>
    <xf numFmtId="173" fontId="0" fillId="0" borderId="10" xfId="70" applyNumberFormat="1" applyFont="1" applyBorder="1" applyAlignment="1">
      <alignment horizontal="right" vertical="center"/>
    </xf>
    <xf numFmtId="175" fontId="0" fillId="0" borderId="47" xfId="70" applyNumberFormat="1" applyFont="1" applyFill="1" applyBorder="1" applyAlignment="1" applyProtection="1">
      <alignment horizontal="center" vertical="center"/>
      <protection/>
    </xf>
    <xf numFmtId="178" fontId="0" fillId="0" borderId="45" xfId="70" applyNumberFormat="1" applyFont="1" applyFill="1" applyBorder="1" applyAlignment="1">
      <alignment vertical="center"/>
    </xf>
    <xf numFmtId="173" fontId="0" fillId="0" borderId="45" xfId="70" applyNumberFormat="1" applyFont="1" applyBorder="1" applyAlignment="1">
      <alignment horizontal="right" vertical="center"/>
    </xf>
    <xf numFmtId="173" fontId="0" fillId="0" borderId="23" xfId="70" applyNumberFormat="1" applyFont="1" applyBorder="1" applyAlignment="1">
      <alignment horizontal="right" vertical="center"/>
    </xf>
    <xf numFmtId="175" fontId="0" fillId="0" borderId="53" xfId="70" applyNumberFormat="1" applyFont="1" applyFill="1" applyBorder="1" applyAlignment="1" applyProtection="1">
      <alignment horizontal="center" vertical="center"/>
      <protection/>
    </xf>
    <xf numFmtId="173" fontId="0" fillId="0" borderId="44" xfId="70" applyNumberFormat="1" applyFont="1" applyFill="1" applyBorder="1" applyAlignment="1" applyProtection="1">
      <alignment vertical="center"/>
      <protection/>
    </xf>
    <xf numFmtId="173" fontId="0" fillId="0" borderId="46" xfId="70" applyNumberFormat="1" applyFont="1" applyFill="1" applyBorder="1" applyAlignment="1" applyProtection="1">
      <alignment vertical="center"/>
      <protection/>
    </xf>
    <xf numFmtId="173" fontId="0" fillId="0" borderId="23" xfId="70" applyNumberFormat="1" applyFont="1" applyFill="1" applyBorder="1" applyAlignment="1" applyProtection="1">
      <alignment horizontal="center" vertical="center"/>
      <protection/>
    </xf>
    <xf numFmtId="173" fontId="0" fillId="0" borderId="19" xfId="70" applyNumberFormat="1" applyFont="1" applyBorder="1" applyAlignment="1">
      <alignment horizontal="right" vertical="center"/>
    </xf>
    <xf numFmtId="173" fontId="0" fillId="0" borderId="18" xfId="7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/>
    </xf>
    <xf numFmtId="168" fontId="0" fillId="33" borderId="10" xfId="70" applyNumberFormat="1" applyFont="1" applyFill="1" applyBorder="1" applyAlignment="1" quotePrefix="1">
      <alignment horizontal="right"/>
    </xf>
    <xf numFmtId="168" fontId="0" fillId="0" borderId="15" xfId="70" applyNumberFormat="1" applyFont="1" applyFill="1" applyBorder="1" applyAlignment="1">
      <alignment/>
    </xf>
    <xf numFmtId="0" fontId="0" fillId="16" borderId="13" xfId="0" applyFont="1" applyFill="1" applyBorder="1" applyAlignment="1">
      <alignment/>
    </xf>
    <xf numFmtId="168" fontId="0" fillId="16" borderId="0" xfId="70" applyNumberFormat="1" applyFont="1" applyFill="1" applyBorder="1" applyAlignment="1">
      <alignment horizontal="right"/>
    </xf>
    <xf numFmtId="168" fontId="0" fillId="16" borderId="20" xfId="70" applyNumberFormat="1" applyFont="1" applyFill="1" applyBorder="1" applyAlignment="1">
      <alignment horizontal="center"/>
    </xf>
    <xf numFmtId="0" fontId="0" fillId="16" borderId="22" xfId="0" applyFont="1" applyFill="1" applyBorder="1" applyAlignment="1">
      <alignment/>
    </xf>
    <xf numFmtId="168" fontId="0" fillId="16" borderId="15" xfId="70" applyNumberFormat="1" applyFont="1" applyFill="1" applyBorder="1" applyAlignment="1">
      <alignment horizontal="center"/>
    </xf>
    <xf numFmtId="168" fontId="0" fillId="16" borderId="15" xfId="70" applyNumberFormat="1" applyFont="1" applyFill="1" applyBorder="1" applyAlignment="1">
      <alignment horizontal="right"/>
    </xf>
    <xf numFmtId="168" fontId="0" fillId="16" borderId="0" xfId="70" applyNumberFormat="1" applyFont="1" applyFill="1" applyAlignment="1">
      <alignment/>
    </xf>
    <xf numFmtId="168" fontId="0" fillId="16" borderId="17" xfId="70" applyNumberFormat="1" applyFont="1" applyFill="1" applyBorder="1" applyAlignment="1">
      <alignment horizontal="right"/>
    </xf>
    <xf numFmtId="168" fontId="0" fillId="16" borderId="19" xfId="70" applyNumberFormat="1" applyFont="1" applyFill="1" applyBorder="1" applyAlignment="1">
      <alignment horizontal="right"/>
    </xf>
    <xf numFmtId="0" fontId="0" fillId="16" borderId="10" xfId="0" applyFont="1" applyFill="1" applyBorder="1" applyAlignment="1">
      <alignment/>
    </xf>
    <xf numFmtId="168" fontId="0" fillId="16" borderId="12" xfId="70" applyNumberFormat="1" applyFont="1" applyFill="1" applyBorder="1" applyAlignment="1">
      <alignment horizontal="center"/>
    </xf>
    <xf numFmtId="168" fontId="0" fillId="16" borderId="18" xfId="70" applyNumberFormat="1" applyFont="1" applyFill="1" applyBorder="1" applyAlignment="1">
      <alignment horizontal="center"/>
    </xf>
    <xf numFmtId="168" fontId="0" fillId="16" borderId="0" xfId="70" applyNumberFormat="1" applyFont="1" applyFill="1" applyAlignment="1">
      <alignment horizontal="right"/>
    </xf>
    <xf numFmtId="168" fontId="0" fillId="16" borderId="19" xfId="70" applyNumberFormat="1" applyFont="1" applyFill="1" applyBorder="1" applyAlignment="1">
      <alignment horizontal="center"/>
    </xf>
    <xf numFmtId="168" fontId="0" fillId="16" borderId="22" xfId="70" applyNumberFormat="1" applyFont="1" applyFill="1" applyBorder="1" applyAlignment="1">
      <alignment/>
    </xf>
    <xf numFmtId="0" fontId="0" fillId="16" borderId="15" xfId="0" applyFont="1" applyFill="1" applyBorder="1" applyAlignment="1" quotePrefix="1">
      <alignment horizontal="center"/>
    </xf>
    <xf numFmtId="166" fontId="0" fillId="16" borderId="15" xfId="70" applyNumberFormat="1" applyFont="1" applyFill="1" applyBorder="1" applyAlignment="1">
      <alignment horizontal="center"/>
    </xf>
    <xf numFmtId="168" fontId="0" fillId="16" borderId="15" xfId="70" applyNumberFormat="1" applyFont="1" applyFill="1" applyBorder="1" applyAlignment="1">
      <alignment vertical="center"/>
    </xf>
    <xf numFmtId="0" fontId="0" fillId="16" borderId="29" xfId="0" applyFont="1" applyFill="1" applyBorder="1" applyAlignment="1" quotePrefix="1">
      <alignment horizontal="center"/>
    </xf>
    <xf numFmtId="168" fontId="0" fillId="16" borderId="29" xfId="70" applyNumberFormat="1" applyFont="1" applyFill="1" applyBorder="1" applyAlignment="1">
      <alignment/>
    </xf>
    <xf numFmtId="166" fontId="0" fillId="16" borderId="22" xfId="70" applyNumberFormat="1" applyFont="1" applyFill="1" applyBorder="1" applyAlignment="1">
      <alignment horizontal="center"/>
    </xf>
    <xf numFmtId="168" fontId="0" fillId="16" borderId="22" xfId="70" applyNumberFormat="1" applyFont="1" applyFill="1" applyBorder="1" applyAlignment="1">
      <alignment vertical="center"/>
    </xf>
    <xf numFmtId="168" fontId="0" fillId="16" borderId="22" xfId="70" applyNumberFormat="1" applyFont="1" applyFill="1" applyBorder="1" applyAlignment="1">
      <alignment horizontal="right"/>
    </xf>
    <xf numFmtId="168" fontId="0" fillId="16" borderId="22" xfId="70" applyNumberFormat="1" applyFont="1" applyFill="1" applyBorder="1" applyAlignment="1">
      <alignment horizontal="center"/>
    </xf>
    <xf numFmtId="166" fontId="0" fillId="16" borderId="23" xfId="70" applyNumberFormat="1" applyFont="1" applyFill="1" applyBorder="1" applyAlignment="1">
      <alignment horizontal="center"/>
    </xf>
    <xf numFmtId="168" fontId="0" fillId="16" borderId="23" xfId="70" applyNumberFormat="1" applyFont="1" applyFill="1" applyBorder="1" applyAlignment="1">
      <alignment vertical="center"/>
    </xf>
    <xf numFmtId="168" fontId="0" fillId="16" borderId="10" xfId="70" applyNumberFormat="1" applyFont="1" applyFill="1" applyBorder="1" applyAlignment="1">
      <alignment horizontal="right"/>
    </xf>
    <xf numFmtId="168" fontId="0" fillId="0" borderId="36" xfId="70" applyNumberFormat="1" applyFont="1" applyBorder="1" applyAlignment="1">
      <alignment horizontal="left" vertical="center"/>
    </xf>
    <xf numFmtId="0" fontId="0" fillId="37" borderId="0" xfId="0" applyFont="1" applyFill="1" applyAlignment="1">
      <alignment/>
    </xf>
    <xf numFmtId="173" fontId="8" fillId="0" borderId="23" xfId="7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/>
    </xf>
    <xf numFmtId="49" fontId="18" fillId="16" borderId="0" xfId="56" applyNumberFormat="1" applyFont="1" applyFill="1" applyBorder="1" applyAlignment="1">
      <alignment horizontal="center" vertical="center"/>
      <protection/>
    </xf>
    <xf numFmtId="49" fontId="18" fillId="16" borderId="15" xfId="56" applyNumberFormat="1" applyFont="1" applyFill="1" applyBorder="1" applyAlignment="1">
      <alignment horizontal="center" vertical="center"/>
      <protection/>
    </xf>
    <xf numFmtId="168" fontId="0" fillId="16" borderId="10" xfId="70" applyNumberFormat="1" applyFont="1" applyFill="1" applyBorder="1" applyAlignment="1">
      <alignment horizontal="right"/>
    </xf>
    <xf numFmtId="4" fontId="8" fillId="16" borderId="0" xfId="0" applyNumberFormat="1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165" fontId="5" fillId="6" borderId="15" xfId="0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166" fontId="8" fillId="16" borderId="10" xfId="70" applyNumberFormat="1" applyFont="1" applyFill="1" applyBorder="1" applyAlignment="1">
      <alignment horizontal="center"/>
    </xf>
    <xf numFmtId="168" fontId="8" fillId="16" borderId="17" xfId="70" applyNumberFormat="1" applyFont="1" applyFill="1" applyBorder="1" applyAlignment="1">
      <alignment horizontal="right"/>
    </xf>
    <xf numFmtId="166" fontId="8" fillId="16" borderId="23" xfId="70" applyNumberFormat="1" applyFont="1" applyFill="1" applyBorder="1" applyAlignment="1">
      <alignment horizontal="center"/>
    </xf>
    <xf numFmtId="168" fontId="8" fillId="16" borderId="19" xfId="70" applyNumberFormat="1" applyFont="1" applyFill="1" applyBorder="1" applyAlignment="1">
      <alignment horizontal="right"/>
    </xf>
    <xf numFmtId="168" fontId="8" fillId="16" borderId="23" xfId="70" applyNumberFormat="1" applyFont="1" applyFill="1" applyBorder="1" applyAlignment="1">
      <alignment horizontal="center"/>
    </xf>
    <xf numFmtId="168" fontId="8" fillId="16" borderId="10" xfId="70" applyNumberFormat="1" applyFont="1" applyFill="1" applyBorder="1" applyAlignment="1">
      <alignment horizontal="right"/>
    </xf>
    <xf numFmtId="168" fontId="8" fillId="16" borderId="12" xfId="70" applyNumberFormat="1" applyFont="1" applyFill="1" applyBorder="1" applyAlignment="1">
      <alignment horizontal="right"/>
    </xf>
    <xf numFmtId="164" fontId="8" fillId="16" borderId="18" xfId="70" applyNumberFormat="1" applyFont="1" applyFill="1" applyBorder="1" applyAlignment="1">
      <alignment vertical="center"/>
    </xf>
    <xf numFmtId="165" fontId="5" fillId="12" borderId="15" xfId="0" applyNumberFormat="1" applyFont="1" applyFill="1" applyBorder="1" applyAlignment="1">
      <alignment horizontal="center"/>
    </xf>
    <xf numFmtId="2" fontId="5" fillId="12" borderId="15" xfId="0" applyNumberFormat="1" applyFont="1" applyFill="1" applyBorder="1" applyAlignment="1">
      <alignment horizontal="center"/>
    </xf>
    <xf numFmtId="3" fontId="5" fillId="12" borderId="15" xfId="0" applyNumberFormat="1" applyFont="1" applyFill="1" applyBorder="1" applyAlignment="1">
      <alignment horizontal="center"/>
    </xf>
    <xf numFmtId="3" fontId="5" fillId="6" borderId="15" xfId="0" applyNumberFormat="1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164" fontId="8" fillId="16" borderId="12" xfId="70" applyNumberFormat="1" applyFont="1" applyFill="1" applyBorder="1" applyAlignment="1">
      <alignment horizontal="center"/>
    </xf>
    <xf numFmtId="0" fontId="9" fillId="16" borderId="14" xfId="0" applyFont="1" applyFill="1" applyBorder="1" applyAlignment="1">
      <alignment/>
    </xf>
    <xf numFmtId="0" fontId="9" fillId="16" borderId="21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16" borderId="22" xfId="0" applyFont="1" applyFill="1" applyBorder="1" applyAlignment="1">
      <alignment horizontal="center" vertical="center"/>
    </xf>
    <xf numFmtId="0" fontId="126" fillId="16" borderId="0" xfId="0" applyFont="1" applyFill="1" applyBorder="1" applyAlignment="1">
      <alignment horizontal="center"/>
    </xf>
    <xf numFmtId="166" fontId="5" fillId="36" borderId="38" xfId="70" applyNumberFormat="1" applyFont="1" applyFill="1" applyBorder="1" applyAlignment="1">
      <alignment/>
    </xf>
    <xf numFmtId="166" fontId="8" fillId="44" borderId="33" xfId="70" applyNumberFormat="1" applyFont="1" applyFill="1" applyBorder="1" applyAlignment="1">
      <alignment/>
    </xf>
    <xf numFmtId="16" fontId="15" fillId="16" borderId="22" xfId="0" applyNumberFormat="1" applyFont="1" applyFill="1" applyBorder="1" applyAlignment="1">
      <alignment horizontal="center"/>
    </xf>
    <xf numFmtId="0" fontId="7" fillId="16" borderId="0" xfId="0" applyFont="1" applyFill="1" applyBorder="1" applyAlignment="1">
      <alignment/>
    </xf>
    <xf numFmtId="164" fontId="0" fillId="0" borderId="0" xfId="70" applyFont="1" applyBorder="1" applyAlignment="1">
      <alignment/>
    </xf>
    <xf numFmtId="164" fontId="0" fillId="0" borderId="0" xfId="70" applyFont="1" applyBorder="1" applyAlignment="1">
      <alignment/>
    </xf>
    <xf numFmtId="0" fontId="0" fillId="0" borderId="20" xfId="0" applyBorder="1" applyAlignment="1">
      <alignment/>
    </xf>
    <xf numFmtId="2" fontId="12" fillId="16" borderId="0" xfId="0" applyNumberFormat="1" applyFont="1" applyFill="1" applyAlignment="1">
      <alignment horizontal="left"/>
    </xf>
    <xf numFmtId="0" fontId="13" fillId="16" borderId="19" xfId="0" applyFont="1" applyFill="1" applyBorder="1" applyAlignment="1">
      <alignment vertical="center"/>
    </xf>
    <xf numFmtId="2" fontId="0" fillId="0" borderId="20" xfId="0" applyNumberFormat="1" applyBorder="1" applyAlignment="1">
      <alignment/>
    </xf>
    <xf numFmtId="0" fontId="0" fillId="16" borderId="0" xfId="0" applyFont="1" applyFill="1" applyAlignment="1">
      <alignment/>
    </xf>
    <xf numFmtId="0" fontId="5" fillId="2" borderId="0" xfId="0" applyFont="1" applyFill="1" applyBorder="1" applyAlignment="1">
      <alignment/>
    </xf>
    <xf numFmtId="168" fontId="0" fillId="0" borderId="23" xfId="70" applyNumberFormat="1" applyFont="1" applyBorder="1" applyAlignment="1">
      <alignment/>
    </xf>
    <xf numFmtId="168" fontId="0" fillId="0" borderId="10" xfId="70" applyNumberFormat="1" applyFont="1" applyBorder="1" applyAlignment="1">
      <alignment/>
    </xf>
    <xf numFmtId="168" fontId="0" fillId="0" borderId="34" xfId="70" applyNumberFormat="1" applyFont="1" applyBorder="1" applyAlignment="1">
      <alignment/>
    </xf>
    <xf numFmtId="168" fontId="0" fillId="0" borderId="22" xfId="70" applyNumberFormat="1" applyFont="1" applyBorder="1" applyAlignment="1">
      <alignment/>
    </xf>
    <xf numFmtId="171" fontId="23" fillId="19" borderId="12" xfId="58" applyNumberFormat="1" applyFont="1" applyFill="1" applyBorder="1" applyAlignment="1">
      <alignment horizontal="right" vertical="center"/>
    </xf>
    <xf numFmtId="171" fontId="23" fillId="19" borderId="10" xfId="58" applyNumberFormat="1" applyFont="1" applyFill="1" applyBorder="1" applyAlignment="1">
      <alignment horizontal="right" vertical="center"/>
    </xf>
    <xf numFmtId="165" fontId="8" fillId="19" borderId="24" xfId="0" applyNumberFormat="1" applyFont="1" applyFill="1" applyBorder="1" applyAlignment="1">
      <alignment/>
    </xf>
    <xf numFmtId="165" fontId="5" fillId="12" borderId="15" xfId="0" applyNumberFormat="1" applyFont="1" applyFill="1" applyBorder="1" applyAlignment="1">
      <alignment horizontal="center" vertical="center" wrapText="1"/>
    </xf>
    <xf numFmtId="2" fontId="5" fillId="6" borderId="15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8" fillId="36" borderId="0" xfId="0" applyFont="1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5" fillId="16" borderId="41" xfId="0" applyFont="1" applyFill="1" applyBorder="1" applyAlignment="1">
      <alignment horizontal="center"/>
    </xf>
    <xf numFmtId="168" fontId="0" fillId="16" borderId="41" xfId="70" applyNumberFormat="1" applyFont="1" applyFill="1" applyBorder="1" applyAlignment="1">
      <alignment/>
    </xf>
    <xf numFmtId="168" fontId="5" fillId="16" borderId="41" xfId="70" applyNumberFormat="1" applyFont="1" applyFill="1" applyBorder="1" applyAlignment="1">
      <alignment/>
    </xf>
    <xf numFmtId="166" fontId="5" fillId="16" borderId="41" xfId="70" applyNumberFormat="1" applyFont="1" applyFill="1" applyBorder="1" applyAlignment="1">
      <alignment/>
    </xf>
    <xf numFmtId="0" fontId="0" fillId="12" borderId="41" xfId="0" applyFont="1" applyFill="1" applyBorder="1" applyAlignment="1">
      <alignment horizontal="center"/>
    </xf>
    <xf numFmtId="2" fontId="0" fillId="0" borderId="25" xfId="0" applyNumberFormat="1" applyBorder="1" applyAlignment="1">
      <alignment/>
    </xf>
    <xf numFmtId="0" fontId="8" fillId="33" borderId="25" xfId="0" applyFont="1" applyFill="1" applyBorder="1" applyAlignment="1">
      <alignment/>
    </xf>
    <xf numFmtId="0" fontId="8" fillId="12" borderId="25" xfId="0" applyFont="1" applyFill="1" applyBorder="1" applyAlignment="1">
      <alignment horizontal="left"/>
    </xf>
    <xf numFmtId="168" fontId="0" fillId="0" borderId="15" xfId="70" applyNumberFormat="1" applyFont="1" applyBorder="1" applyAlignment="1">
      <alignment/>
    </xf>
    <xf numFmtId="168" fontId="0" fillId="33" borderId="30" xfId="70" applyNumberFormat="1" applyFont="1" applyFill="1" applyBorder="1" applyAlignment="1">
      <alignment/>
    </xf>
    <xf numFmtId="0" fontId="0" fillId="12" borderId="26" xfId="0" applyFill="1" applyBorder="1" applyAlignment="1">
      <alignment horizontal="center"/>
    </xf>
    <xf numFmtId="168" fontId="0" fillId="0" borderId="22" xfId="70" applyNumberFormat="1" applyFont="1" applyBorder="1" applyAlignment="1">
      <alignment/>
    </xf>
    <xf numFmtId="168" fontId="0" fillId="0" borderId="22" xfId="70" applyNumberFormat="1" applyFont="1" applyBorder="1" applyAlignment="1">
      <alignment horizontal="center"/>
    </xf>
    <xf numFmtId="168" fontId="0" fillId="33" borderId="31" xfId="70" applyNumberFormat="1" applyFont="1" applyFill="1" applyBorder="1" applyAlignment="1">
      <alignment/>
    </xf>
    <xf numFmtId="170" fontId="0" fillId="0" borderId="22" xfId="70" applyNumberFormat="1" applyFont="1" applyBorder="1" applyAlignment="1">
      <alignment/>
    </xf>
    <xf numFmtId="168" fontId="8" fillId="12" borderId="30" xfId="70" applyNumberFormat="1" applyFont="1" applyFill="1" applyBorder="1" applyAlignment="1">
      <alignment/>
    </xf>
    <xf numFmtId="170" fontId="8" fillId="12" borderId="31" xfId="0" applyNumberFormat="1" applyFont="1" applyFill="1" applyBorder="1" applyAlignment="1">
      <alignment/>
    </xf>
    <xf numFmtId="2" fontId="8" fillId="12" borderId="25" xfId="0" applyNumberFormat="1" applyFont="1" applyFill="1" applyBorder="1" applyAlignment="1">
      <alignment/>
    </xf>
    <xf numFmtId="0" fontId="0" fillId="12" borderId="26" xfId="0" applyFont="1" applyFill="1" applyBorder="1" applyAlignment="1">
      <alignment horizontal="center"/>
    </xf>
    <xf numFmtId="0" fontId="0" fillId="16" borderId="23" xfId="0" applyFont="1" applyFill="1" applyBorder="1" applyAlignment="1">
      <alignment/>
    </xf>
    <xf numFmtId="168" fontId="0" fillId="16" borderId="24" xfId="70" applyNumberFormat="1" applyFont="1" applyFill="1" applyBorder="1" applyAlignment="1">
      <alignment/>
    </xf>
    <xf numFmtId="0" fontId="0" fillId="16" borderId="15" xfId="0" applyFont="1" applyFill="1" applyBorder="1" applyAlignment="1">
      <alignment horizontal="right"/>
    </xf>
    <xf numFmtId="0" fontId="5" fillId="2" borderId="15" xfId="0" applyFont="1" applyFill="1" applyBorder="1" applyAlignment="1">
      <alignment/>
    </xf>
    <xf numFmtId="3" fontId="8" fillId="36" borderId="0" xfId="0" applyNumberFormat="1" applyFont="1" applyFill="1" applyBorder="1" applyAlignment="1">
      <alignment horizontal="right" vertical="top" wrapText="1"/>
    </xf>
    <xf numFmtId="164" fontId="8" fillId="36" borderId="0" xfId="70" applyNumberFormat="1" applyFont="1" applyFill="1" applyBorder="1" applyAlignment="1" quotePrefix="1">
      <alignment horizontal="right"/>
    </xf>
    <xf numFmtId="4" fontId="8" fillId="36" borderId="0" xfId="0" applyNumberFormat="1" applyFont="1" applyFill="1" applyBorder="1" applyAlignment="1">
      <alignment/>
    </xf>
    <xf numFmtId="4" fontId="120" fillId="36" borderId="0" xfId="0" applyNumberFormat="1" applyFont="1" applyFill="1" applyBorder="1" applyAlignment="1">
      <alignment/>
    </xf>
    <xf numFmtId="164" fontId="8" fillId="16" borderId="23" xfId="7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168" fontId="5" fillId="0" borderId="0" xfId="70" applyNumberFormat="1" applyFont="1" applyAlignment="1">
      <alignment/>
    </xf>
    <xf numFmtId="0" fontId="0" fillId="0" borderId="15" xfId="0" applyFont="1" applyBorder="1" applyAlignment="1">
      <alignment/>
    </xf>
    <xf numFmtId="168" fontId="5" fillId="0" borderId="30" xfId="70" applyNumberFormat="1" applyFont="1" applyBorder="1" applyAlignment="1">
      <alignment/>
    </xf>
    <xf numFmtId="166" fontId="8" fillId="44" borderId="31" xfId="70" applyNumberFormat="1" applyFont="1" applyFill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8" fillId="34" borderId="10" xfId="0" applyNumberFormat="1" applyFont="1" applyFill="1" applyBorder="1" applyAlignment="1">
      <alignment/>
    </xf>
    <xf numFmtId="167" fontId="0" fillId="19" borderId="10" xfId="0" applyNumberFormat="1" applyFont="1" applyFill="1" applyBorder="1" applyAlignment="1">
      <alignment/>
    </xf>
    <xf numFmtId="167" fontId="8" fillId="19" borderId="11" xfId="0" applyNumberFormat="1" applyFont="1" applyFill="1" applyBorder="1" applyAlignment="1">
      <alignment/>
    </xf>
    <xf numFmtId="167" fontId="8" fillId="0" borderId="10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34" borderId="11" xfId="0" applyNumberFormat="1" applyFont="1" applyFill="1" applyBorder="1" applyAlignment="1">
      <alignment/>
    </xf>
    <xf numFmtId="167" fontId="0" fillId="33" borderId="10" xfId="70" applyNumberFormat="1" applyFont="1" applyFill="1" applyBorder="1" applyAlignment="1" quotePrefix="1">
      <alignment horizontal="right"/>
    </xf>
    <xf numFmtId="167" fontId="0" fillId="33" borderId="11" xfId="70" applyNumberFormat="1" applyFont="1" applyFill="1" applyBorder="1" applyAlignment="1" quotePrefix="1">
      <alignment horizontal="right"/>
    </xf>
    <xf numFmtId="168" fontId="8" fillId="19" borderId="10" xfId="70" applyNumberFormat="1" applyFont="1" applyFill="1" applyBorder="1" applyAlignment="1" quotePrefix="1">
      <alignment horizontal="right"/>
    </xf>
    <xf numFmtId="167" fontId="0" fillId="0" borderId="10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167" fontId="8" fillId="34" borderId="26" xfId="0" applyNumberFormat="1" applyFont="1" applyFill="1" applyBorder="1" applyAlignment="1">
      <alignment horizontal="center" vertical="center"/>
    </xf>
    <xf numFmtId="167" fontId="8" fillId="34" borderId="33" xfId="70" applyNumberFormat="1" applyFont="1" applyFill="1" applyBorder="1" applyAlignment="1" quotePrefix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center" vertical="center"/>
    </xf>
    <xf numFmtId="0" fontId="29" fillId="36" borderId="27" xfId="51" applyFont="1" applyFill="1" applyBorder="1" applyAlignment="1">
      <alignment horizontal="center" vertical="center"/>
      <protection/>
    </xf>
    <xf numFmtId="167" fontId="8" fillId="36" borderId="18" xfId="70" applyNumberFormat="1" applyFont="1" applyFill="1" applyBorder="1" applyAlignment="1" applyProtection="1">
      <alignment horizontal="center" vertical="center"/>
      <protection/>
    </xf>
    <xf numFmtId="167" fontId="8" fillId="36" borderId="12" xfId="70" applyNumberFormat="1" applyFont="1" applyFill="1" applyBorder="1" applyAlignment="1" applyProtection="1">
      <alignment horizontal="center" vertical="center"/>
      <protection/>
    </xf>
    <xf numFmtId="0" fontId="29" fillId="36" borderId="12" xfId="51" applyFont="1" applyFill="1" applyBorder="1" applyAlignment="1">
      <alignment horizontal="center" vertical="center" wrapText="1"/>
      <protection/>
    </xf>
    <xf numFmtId="0" fontId="29" fillId="0" borderId="18" xfId="51" applyFont="1" applyBorder="1" applyAlignment="1">
      <alignment horizontal="center" vertical="center" wrapText="1"/>
      <protection/>
    </xf>
    <xf numFmtId="167" fontId="8" fillId="0" borderId="15" xfId="70" applyNumberFormat="1" applyFont="1" applyFill="1" applyBorder="1" applyAlignment="1" applyProtection="1">
      <alignment horizontal="center" vertical="center"/>
      <protection/>
    </xf>
    <xf numFmtId="0" fontId="29" fillId="0" borderId="12" xfId="51" applyFont="1" applyBorder="1" applyAlignment="1">
      <alignment horizontal="center" vertical="center" wrapText="1"/>
      <protection/>
    </xf>
    <xf numFmtId="0" fontId="8" fillId="45" borderId="54" xfId="0" applyFont="1" applyFill="1" applyBorder="1" applyAlignment="1">
      <alignment horizontal="center" vertical="center"/>
    </xf>
    <xf numFmtId="0" fontId="8" fillId="45" borderId="31" xfId="0" applyFont="1" applyFill="1" applyBorder="1" applyAlignment="1">
      <alignment horizontal="center" vertical="center"/>
    </xf>
    <xf numFmtId="0" fontId="8" fillId="45" borderId="55" xfId="0" applyFont="1" applyFill="1" applyBorder="1" applyAlignment="1">
      <alignment horizontal="center" vertical="center"/>
    </xf>
    <xf numFmtId="0" fontId="8" fillId="45" borderId="30" xfId="0" applyFont="1" applyFill="1" applyBorder="1" applyAlignment="1">
      <alignment horizontal="center" vertical="center"/>
    </xf>
    <xf numFmtId="0" fontId="8" fillId="45" borderId="38" xfId="0" applyFont="1" applyFill="1" applyBorder="1" applyAlignment="1">
      <alignment horizontal="center" vertical="center"/>
    </xf>
    <xf numFmtId="0" fontId="8" fillId="45" borderId="56" xfId="0" applyFont="1" applyFill="1" applyBorder="1" applyAlignment="1">
      <alignment horizontal="left" vertical="center"/>
    </xf>
    <xf numFmtId="173" fontId="8" fillId="45" borderId="54" xfId="70" applyNumberFormat="1" applyFont="1" applyFill="1" applyBorder="1" applyAlignment="1" applyProtection="1">
      <alignment horizontal="center" vertical="center"/>
      <protection/>
    </xf>
    <xf numFmtId="173" fontId="8" fillId="45" borderId="25" xfId="70" applyNumberFormat="1" applyFont="1" applyFill="1" applyBorder="1" applyAlignment="1" applyProtection="1">
      <alignment horizontal="center" vertical="center"/>
      <protection/>
    </xf>
    <xf numFmtId="173" fontId="8" fillId="45" borderId="30" xfId="70" applyNumberFormat="1" applyFont="1" applyFill="1" applyBorder="1" applyAlignment="1" applyProtection="1">
      <alignment horizontal="center" vertical="center"/>
      <protection/>
    </xf>
    <xf numFmtId="175" fontId="8" fillId="45" borderId="38" xfId="70" applyNumberFormat="1" applyFont="1" applyFill="1" applyBorder="1" applyAlignment="1" applyProtection="1">
      <alignment horizontal="center" vertical="center"/>
      <protection/>
    </xf>
    <xf numFmtId="173" fontId="8" fillId="36" borderId="27" xfId="70" applyNumberFormat="1" applyFont="1" applyFill="1" applyBorder="1" applyAlignment="1" applyProtection="1">
      <alignment vertical="center"/>
      <protection locked="0"/>
    </xf>
    <xf numFmtId="173" fontId="8" fillId="36" borderId="28" xfId="70" applyNumberFormat="1" applyFont="1" applyFill="1" applyBorder="1" applyAlignment="1">
      <alignment horizontal="right" vertical="center"/>
    </xf>
    <xf numFmtId="175" fontId="8" fillId="36" borderId="52" xfId="70" applyNumberFormat="1" applyFont="1" applyFill="1" applyBorder="1" applyAlignment="1" applyProtection="1">
      <alignment horizontal="center" vertical="center"/>
      <protection/>
    </xf>
    <xf numFmtId="178" fontId="8" fillId="36" borderId="50" xfId="70" applyNumberFormat="1" applyFont="1" applyFill="1" applyBorder="1" applyAlignment="1">
      <alignment vertical="center"/>
    </xf>
    <xf numFmtId="173" fontId="8" fillId="36" borderId="28" xfId="70" applyNumberFormat="1" applyFont="1" applyFill="1" applyBorder="1" applyAlignment="1" applyProtection="1">
      <alignment horizontal="center" vertical="center"/>
      <protection/>
    </xf>
    <xf numFmtId="173" fontId="8" fillId="36" borderId="37" xfId="70" applyNumberFormat="1" applyFont="1" applyFill="1" applyBorder="1" applyAlignment="1" applyProtection="1">
      <alignment vertical="center"/>
      <protection/>
    </xf>
    <xf numFmtId="175" fontId="8" fillId="36" borderId="51" xfId="70" applyNumberFormat="1" applyFont="1" applyFill="1" applyBorder="1" applyAlignment="1" applyProtection="1">
      <alignment horizontal="center" vertical="center"/>
      <protection/>
    </xf>
    <xf numFmtId="173" fontId="8" fillId="36" borderId="10" xfId="70" applyNumberFormat="1" applyFont="1" applyFill="1" applyBorder="1" applyAlignment="1" applyProtection="1">
      <alignment vertical="center"/>
      <protection locked="0"/>
    </xf>
    <xf numFmtId="173" fontId="8" fillId="36" borderId="12" xfId="70" applyNumberFormat="1" applyFont="1" applyFill="1" applyBorder="1" applyAlignment="1" applyProtection="1">
      <alignment vertical="center"/>
      <protection locked="0"/>
    </xf>
    <xf numFmtId="173" fontId="8" fillId="36" borderId="10" xfId="70" applyNumberFormat="1" applyFont="1" applyFill="1" applyBorder="1" applyAlignment="1">
      <alignment horizontal="right" vertical="center"/>
    </xf>
    <xf numFmtId="175" fontId="8" fillId="36" borderId="47" xfId="70" applyNumberFormat="1" applyFont="1" applyFill="1" applyBorder="1" applyAlignment="1" applyProtection="1">
      <alignment horizontal="center" vertical="center"/>
      <protection/>
    </xf>
    <xf numFmtId="178" fontId="8" fillId="36" borderId="46" xfId="70" applyNumberFormat="1" applyFont="1" applyFill="1" applyBorder="1" applyAlignment="1">
      <alignment vertical="center"/>
    </xf>
    <xf numFmtId="173" fontId="8" fillId="36" borderId="23" xfId="70" applyNumberFormat="1" applyFont="1" applyFill="1" applyBorder="1" applyAlignment="1" applyProtection="1">
      <alignment horizontal="center" vertical="center"/>
      <protection/>
    </xf>
    <xf numFmtId="173" fontId="8" fillId="36" borderId="45" xfId="70" applyNumberFormat="1" applyFont="1" applyFill="1" applyBorder="1" applyAlignment="1" applyProtection="1">
      <alignment vertical="center"/>
      <protection/>
    </xf>
    <xf numFmtId="175" fontId="8" fillId="36" borderId="17" xfId="70" applyNumberFormat="1" applyFont="1" applyFill="1" applyBorder="1" applyAlignment="1" applyProtection="1">
      <alignment horizontal="center" vertical="center"/>
      <protection/>
    </xf>
    <xf numFmtId="173" fontId="0" fillId="36" borderId="45" xfId="70" applyNumberFormat="1" applyFont="1" applyFill="1" applyBorder="1" applyAlignment="1">
      <alignment horizontal="right" vertical="center"/>
    </xf>
    <xf numFmtId="173" fontId="0" fillId="36" borderId="23" xfId="70" applyNumberFormat="1" applyFont="1" applyFill="1" applyBorder="1" applyAlignment="1">
      <alignment horizontal="right" vertical="center"/>
    </xf>
    <xf numFmtId="175" fontId="0" fillId="36" borderId="53" xfId="70" applyNumberFormat="1" applyFont="1" applyFill="1" applyBorder="1" applyAlignment="1" applyProtection="1">
      <alignment horizontal="center" vertical="center"/>
      <protection/>
    </xf>
    <xf numFmtId="178" fontId="0" fillId="36" borderId="45" xfId="70" applyNumberFormat="1" applyFont="1" applyFill="1" applyBorder="1" applyAlignment="1">
      <alignment vertical="center"/>
    </xf>
    <xf numFmtId="173" fontId="0" fillId="36" borderId="18" xfId="70" applyNumberFormat="1" applyFont="1" applyFill="1" applyBorder="1" applyAlignment="1" applyProtection="1">
      <alignment horizontal="center" vertical="center"/>
      <protection/>
    </xf>
    <xf numFmtId="173" fontId="0" fillId="36" borderId="44" xfId="70" applyNumberFormat="1" applyFont="1" applyFill="1" applyBorder="1" applyAlignment="1" applyProtection="1">
      <alignment vertical="center"/>
      <protection/>
    </xf>
    <xf numFmtId="175" fontId="0" fillId="36" borderId="17" xfId="70" applyNumberFormat="1" applyFont="1" applyFill="1" applyBorder="1" applyAlignment="1" applyProtection="1">
      <alignment horizontal="center" vertical="center"/>
      <protection/>
    </xf>
    <xf numFmtId="173" fontId="8" fillId="36" borderId="46" xfId="70" applyNumberFormat="1" applyFont="1" applyFill="1" applyBorder="1" applyAlignment="1" applyProtection="1">
      <alignment vertical="center"/>
      <protection/>
    </xf>
    <xf numFmtId="173" fontId="8" fillId="36" borderId="24" xfId="70" applyNumberFormat="1" applyFont="1" applyFill="1" applyBorder="1" applyAlignment="1" applyProtection="1">
      <alignment vertical="center"/>
      <protection/>
    </xf>
    <xf numFmtId="178" fontId="8" fillId="36" borderId="12" xfId="70" applyNumberFormat="1" applyFont="1" applyFill="1" applyBorder="1" applyAlignment="1">
      <alignment vertical="center"/>
    </xf>
    <xf numFmtId="175" fontId="8" fillId="36" borderId="11" xfId="70" applyNumberFormat="1" applyFont="1" applyFill="1" applyBorder="1" applyAlignment="1" applyProtection="1">
      <alignment horizontal="center" vertical="center"/>
      <protection/>
    </xf>
    <xf numFmtId="173" fontId="8" fillId="36" borderId="10" xfId="70" applyNumberFormat="1" applyFont="1" applyFill="1" applyBorder="1" applyAlignment="1" applyProtection="1">
      <alignment horizontal="center" vertical="center"/>
      <protection/>
    </xf>
    <xf numFmtId="173" fontId="0" fillId="36" borderId="19" xfId="70" applyNumberFormat="1" applyFont="1" applyFill="1" applyBorder="1" applyAlignment="1">
      <alignment horizontal="right" vertical="center"/>
    </xf>
    <xf numFmtId="173" fontId="8" fillId="36" borderId="10" xfId="70" applyNumberFormat="1" applyFont="1" applyFill="1" applyBorder="1" applyAlignment="1" applyProtection="1">
      <alignment vertical="center"/>
      <protection/>
    </xf>
    <xf numFmtId="173" fontId="0" fillId="36" borderId="17" xfId="70" applyNumberFormat="1" applyFont="1" applyFill="1" applyBorder="1" applyAlignment="1">
      <alignment horizontal="right" vertical="center"/>
    </xf>
    <xf numFmtId="173" fontId="8" fillId="36" borderId="18" xfId="70" applyNumberFormat="1" applyFont="1" applyFill="1" applyBorder="1" applyAlignment="1" applyProtection="1">
      <alignment vertical="center"/>
      <protection locked="0"/>
    </xf>
    <xf numFmtId="175" fontId="8" fillId="36" borderId="53" xfId="70" applyNumberFormat="1" applyFont="1" applyFill="1" applyBorder="1" applyAlignment="1" applyProtection="1">
      <alignment horizontal="center" vertical="center"/>
      <protection/>
    </xf>
    <xf numFmtId="173" fontId="8" fillId="36" borderId="19" xfId="70" applyNumberFormat="1" applyFont="1" applyFill="1" applyBorder="1" applyAlignment="1">
      <alignment horizontal="right" vertical="center"/>
    </xf>
    <xf numFmtId="173" fontId="0" fillId="36" borderId="23" xfId="70" applyNumberFormat="1" applyFont="1" applyFill="1" applyBorder="1" applyAlignment="1" applyProtection="1">
      <alignment horizontal="center" vertical="center"/>
      <protection/>
    </xf>
    <xf numFmtId="0" fontId="4" fillId="45" borderId="39" xfId="0" applyFont="1" applyFill="1" applyBorder="1" applyAlignment="1">
      <alignment/>
    </xf>
    <xf numFmtId="0" fontId="8" fillId="45" borderId="15" xfId="0" applyFont="1" applyFill="1" applyBorder="1" applyAlignment="1">
      <alignment horizontal="left" vertical="center"/>
    </xf>
    <xf numFmtId="0" fontId="8" fillId="45" borderId="30" xfId="0" applyFont="1" applyFill="1" applyBorder="1" applyAlignment="1">
      <alignment horizontal="left" vertical="center"/>
    </xf>
    <xf numFmtId="173" fontId="8" fillId="45" borderId="57" xfId="70" applyNumberFormat="1" applyFont="1" applyFill="1" applyBorder="1" applyAlignment="1" applyProtection="1">
      <alignment horizontal="center" vertical="center"/>
      <protection/>
    </xf>
    <xf numFmtId="173" fontId="8" fillId="45" borderId="58" xfId="70" applyNumberFormat="1" applyFont="1" applyFill="1" applyBorder="1" applyAlignment="1" applyProtection="1">
      <alignment horizontal="center" vertical="center"/>
      <protection/>
    </xf>
    <xf numFmtId="175" fontId="8" fillId="45" borderId="55" xfId="70" applyNumberFormat="1" applyFont="1" applyFill="1" applyBorder="1" applyAlignment="1" applyProtection="1">
      <alignment horizontal="center" vertical="center"/>
      <protection/>
    </xf>
    <xf numFmtId="173" fontId="8" fillId="45" borderId="38" xfId="70" applyNumberFormat="1" applyFont="1" applyFill="1" applyBorder="1" applyAlignment="1" applyProtection="1">
      <alignment horizontal="center" vertical="center"/>
      <protection/>
    </xf>
    <xf numFmtId="0" fontId="30" fillId="0" borderId="19" xfId="51" applyFont="1" applyBorder="1" applyAlignment="1">
      <alignment horizontal="left" vertical="center" wrapText="1"/>
      <protection/>
    </xf>
    <xf numFmtId="173" fontId="0" fillId="0" borderId="22" xfId="70" applyNumberFormat="1" applyFont="1" applyFill="1" applyBorder="1" applyAlignment="1" applyProtection="1">
      <alignment vertical="center"/>
      <protection locked="0"/>
    </xf>
    <xf numFmtId="0" fontId="29" fillId="0" borderId="27" xfId="51" applyFont="1" applyBorder="1" applyAlignment="1">
      <alignment horizontal="center" vertical="center"/>
      <protection/>
    </xf>
    <xf numFmtId="178" fontId="0" fillId="0" borderId="44" xfId="70" applyNumberFormat="1" applyFont="1" applyFill="1" applyBorder="1" applyAlignment="1">
      <alignment vertical="center"/>
    </xf>
    <xf numFmtId="173" fontId="0" fillId="0" borderId="23" xfId="70" applyNumberFormat="1" applyFont="1" applyFill="1" applyBorder="1" applyAlignment="1" applyProtection="1">
      <alignment vertical="center"/>
      <protection locked="0"/>
    </xf>
    <xf numFmtId="0" fontId="29" fillId="0" borderId="19" xfId="51" applyFont="1" applyBorder="1" applyAlignment="1">
      <alignment horizontal="left" vertical="center" wrapText="1"/>
      <protection/>
    </xf>
    <xf numFmtId="167" fontId="13" fillId="0" borderId="19" xfId="70" applyNumberFormat="1" applyFont="1" applyFill="1" applyBorder="1" applyAlignment="1" applyProtection="1">
      <alignment horizontal="left" vertical="center"/>
      <protection/>
    </xf>
    <xf numFmtId="173" fontId="0" fillId="0" borderId="45" xfId="70" applyNumberFormat="1" applyFont="1" applyFill="1" applyBorder="1" applyAlignment="1" applyProtection="1">
      <alignment vertical="center"/>
      <protection locked="0"/>
    </xf>
    <xf numFmtId="178" fontId="0" fillId="36" borderId="44" xfId="70" applyNumberFormat="1" applyFont="1" applyFill="1" applyBorder="1" applyAlignment="1">
      <alignment vertical="center"/>
    </xf>
    <xf numFmtId="178" fontId="8" fillId="36" borderId="45" xfId="70" applyNumberFormat="1" applyFont="1" applyFill="1" applyBorder="1" applyAlignment="1">
      <alignment vertical="center"/>
    </xf>
    <xf numFmtId="173" fontId="8" fillId="36" borderId="45" xfId="70" applyNumberFormat="1" applyFont="1" applyFill="1" applyBorder="1" applyAlignment="1" applyProtection="1">
      <alignment horizontal="center" vertical="center"/>
      <protection/>
    </xf>
    <xf numFmtId="173" fontId="8" fillId="36" borderId="19" xfId="70" applyNumberFormat="1" applyFont="1" applyFill="1" applyBorder="1" applyAlignment="1" applyProtection="1">
      <alignment horizontal="center" vertical="center"/>
      <protection/>
    </xf>
    <xf numFmtId="175" fontId="0" fillId="36" borderId="0" xfId="70" applyNumberFormat="1" applyFont="1" applyFill="1" applyBorder="1" applyAlignment="1" applyProtection="1">
      <alignment horizontal="center" vertical="center"/>
      <protection/>
    </xf>
    <xf numFmtId="0" fontId="29" fillId="36" borderId="19" xfId="51" applyFont="1" applyFill="1" applyBorder="1" applyAlignment="1">
      <alignment horizontal="left" vertical="center" wrapText="1"/>
      <protection/>
    </xf>
    <xf numFmtId="173" fontId="8" fillId="36" borderId="27" xfId="70" applyNumberFormat="1" applyFont="1" applyFill="1" applyBorder="1" applyAlignment="1">
      <alignment horizontal="right" vertical="center"/>
    </xf>
    <xf numFmtId="173" fontId="8" fillId="36" borderId="12" xfId="70" applyNumberFormat="1" applyFont="1" applyFill="1" applyBorder="1" applyAlignment="1">
      <alignment horizontal="right" vertical="center"/>
    </xf>
    <xf numFmtId="173" fontId="0" fillId="36" borderId="18" xfId="70" applyNumberFormat="1" applyFont="1" applyFill="1" applyBorder="1" applyAlignment="1">
      <alignment horizontal="right" vertical="center"/>
    </xf>
    <xf numFmtId="173" fontId="8" fillId="36" borderId="50" xfId="70" applyNumberFormat="1" applyFont="1" applyFill="1" applyBorder="1" applyAlignment="1" applyProtection="1">
      <alignment vertical="center"/>
      <protection locked="0"/>
    </xf>
    <xf numFmtId="173" fontId="8" fillId="36" borderId="46" xfId="70" applyNumberFormat="1" applyFont="1" applyFill="1" applyBorder="1" applyAlignment="1" applyProtection="1">
      <alignment vertical="center"/>
      <protection locked="0"/>
    </xf>
    <xf numFmtId="173" fontId="8" fillId="36" borderId="45" xfId="70" applyNumberFormat="1" applyFont="1" applyFill="1" applyBorder="1" applyAlignment="1" applyProtection="1">
      <alignment vertical="center"/>
      <protection locked="0"/>
    </xf>
    <xf numFmtId="173" fontId="8" fillId="36" borderId="54" xfId="70" applyNumberFormat="1" applyFont="1" applyFill="1" applyBorder="1" applyAlignment="1" applyProtection="1">
      <alignment vertical="center"/>
      <protection locked="0"/>
    </xf>
    <xf numFmtId="173" fontId="8" fillId="36" borderId="12" xfId="70" applyNumberFormat="1" applyFont="1" applyFill="1" applyBorder="1" applyAlignment="1" applyProtection="1">
      <alignment vertical="center"/>
      <protection/>
    </xf>
    <xf numFmtId="175" fontId="0" fillId="36" borderId="59" xfId="70" applyNumberFormat="1" applyFont="1" applyFill="1" applyBorder="1" applyAlignment="1" applyProtection="1">
      <alignment horizontal="center" vertical="center"/>
      <protection/>
    </xf>
    <xf numFmtId="173" fontId="8" fillId="36" borderId="27" xfId="70" applyNumberFormat="1" applyFont="1" applyFill="1" applyBorder="1" applyAlignment="1" applyProtection="1">
      <alignment vertical="center"/>
      <protection/>
    </xf>
    <xf numFmtId="173" fontId="0" fillId="36" borderId="15" xfId="70" applyNumberFormat="1" applyFont="1" applyFill="1" applyBorder="1" applyAlignment="1" applyProtection="1">
      <alignment vertical="center"/>
      <protection/>
    </xf>
    <xf numFmtId="173" fontId="8" fillId="36" borderId="18" xfId="70" applyNumberFormat="1" applyFont="1" applyFill="1" applyBorder="1" applyAlignment="1">
      <alignment horizontal="right" vertical="center"/>
    </xf>
    <xf numFmtId="173" fontId="8" fillId="36" borderId="18" xfId="70" applyNumberFormat="1" applyFont="1" applyFill="1" applyBorder="1" applyAlignment="1" applyProtection="1">
      <alignment horizontal="center" vertical="center"/>
      <protection/>
    </xf>
    <xf numFmtId="173" fontId="0" fillId="36" borderId="60" xfId="70" applyNumberFormat="1" applyFont="1" applyFill="1" applyBorder="1" applyAlignment="1" applyProtection="1">
      <alignment vertical="center"/>
      <protection locked="0"/>
    </xf>
    <xf numFmtId="173" fontId="0" fillId="36" borderId="13" xfId="70" applyNumberFormat="1" applyFont="1" applyFill="1" applyBorder="1" applyAlignment="1" applyProtection="1">
      <alignment vertical="center"/>
      <protection locked="0"/>
    </xf>
    <xf numFmtId="173" fontId="0" fillId="36" borderId="22" xfId="70" applyNumberFormat="1" applyFont="1" applyFill="1" applyBorder="1" applyAlignment="1" applyProtection="1">
      <alignment vertical="center"/>
      <protection locked="0"/>
    </xf>
    <xf numFmtId="173" fontId="8" fillId="36" borderId="31" xfId="70" applyNumberFormat="1" applyFont="1" applyFill="1" applyBorder="1" applyAlignment="1" applyProtection="1">
      <alignment vertical="center"/>
      <protection locked="0"/>
    </xf>
    <xf numFmtId="178" fontId="0" fillId="36" borderId="60" xfId="70" applyNumberFormat="1" applyFont="1" applyFill="1" applyBorder="1" applyAlignment="1">
      <alignment vertical="center"/>
    </xf>
    <xf numFmtId="173" fontId="0" fillId="36" borderId="44" xfId="70" applyNumberFormat="1" applyFont="1" applyFill="1" applyBorder="1" applyAlignment="1">
      <alignment horizontal="right" vertical="center"/>
    </xf>
    <xf numFmtId="173" fontId="0" fillId="36" borderId="13" xfId="70" applyNumberFormat="1" applyFont="1" applyFill="1" applyBorder="1" applyAlignment="1" applyProtection="1">
      <alignment vertical="center"/>
      <protection/>
    </xf>
    <xf numFmtId="173" fontId="0" fillId="36" borderId="22" xfId="70" applyNumberFormat="1" applyFont="1" applyFill="1" applyBorder="1" applyAlignment="1">
      <alignment horizontal="right" vertical="center"/>
    </xf>
    <xf numFmtId="173" fontId="0" fillId="36" borderId="60" xfId="70" applyNumberFormat="1" applyFont="1" applyFill="1" applyBorder="1" applyAlignment="1" applyProtection="1">
      <alignment horizontal="center" vertical="center"/>
      <protection/>
    </xf>
    <xf numFmtId="173" fontId="0" fillId="36" borderId="22" xfId="70" applyNumberFormat="1" applyFont="1" applyFill="1" applyBorder="1" applyAlignment="1" applyProtection="1">
      <alignment horizontal="center" vertical="center"/>
      <protection/>
    </xf>
    <xf numFmtId="173" fontId="0" fillId="36" borderId="13" xfId="70" applyNumberFormat="1" applyFont="1" applyFill="1" applyBorder="1" applyAlignment="1">
      <alignment horizontal="right" vertical="center"/>
    </xf>
    <xf numFmtId="173" fontId="0" fillId="36" borderId="45" xfId="70" applyNumberFormat="1" applyFont="1" applyFill="1" applyBorder="1" applyAlignment="1" applyProtection="1">
      <alignment vertical="center"/>
      <protection locked="0"/>
    </xf>
    <xf numFmtId="173" fontId="0" fillId="36" borderId="23" xfId="70" applyNumberFormat="1" applyFont="1" applyFill="1" applyBorder="1" applyAlignment="1" applyProtection="1">
      <alignment vertical="center"/>
      <protection locked="0"/>
    </xf>
    <xf numFmtId="175" fontId="0" fillId="36" borderId="49" xfId="70" applyNumberFormat="1" applyFont="1" applyFill="1" applyBorder="1" applyAlignment="1" applyProtection="1">
      <alignment horizontal="center" vertical="center"/>
      <protection/>
    </xf>
    <xf numFmtId="175" fontId="0" fillId="36" borderId="19" xfId="70" applyNumberFormat="1" applyFont="1" applyFill="1" applyBorder="1" applyAlignment="1" applyProtection="1">
      <alignment horizontal="center" vertical="center"/>
      <protection/>
    </xf>
    <xf numFmtId="173" fontId="0" fillId="36" borderId="45" xfId="70" applyNumberFormat="1" applyFont="1" applyFill="1" applyBorder="1" applyAlignment="1" applyProtection="1">
      <alignment vertical="center"/>
      <protection locked="0"/>
    </xf>
    <xf numFmtId="173" fontId="0" fillId="36" borderId="18" xfId="70" applyNumberFormat="1" applyFont="1" applyFill="1" applyBorder="1" applyAlignment="1" applyProtection="1">
      <alignment vertical="center"/>
      <protection locked="0"/>
    </xf>
    <xf numFmtId="173" fontId="0" fillId="36" borderId="18" xfId="70" applyNumberFormat="1" applyFont="1" applyFill="1" applyBorder="1" applyAlignment="1" applyProtection="1">
      <alignment vertical="center"/>
      <protection/>
    </xf>
    <xf numFmtId="173" fontId="0" fillId="36" borderId="19" xfId="70" applyNumberFormat="1" applyFont="1" applyFill="1" applyBorder="1" applyAlignment="1" applyProtection="1">
      <alignment vertical="center"/>
      <protection/>
    </xf>
    <xf numFmtId="175" fontId="0" fillId="36" borderId="0" xfId="70" applyNumberFormat="1" applyFont="1" applyFill="1" applyBorder="1" applyAlignment="1" applyProtection="1">
      <alignment horizontal="center" vertical="center"/>
      <protection/>
    </xf>
    <xf numFmtId="173" fontId="0" fillId="36" borderId="15" xfId="70" applyNumberFormat="1" applyFont="1" applyFill="1" applyBorder="1" applyAlignment="1" applyProtection="1">
      <alignment vertical="center"/>
      <protection locked="0"/>
    </xf>
    <xf numFmtId="173" fontId="0" fillId="36" borderId="22" xfId="70" applyNumberFormat="1" applyFont="1" applyFill="1" applyBorder="1" applyAlignment="1" applyProtection="1">
      <alignment vertical="center"/>
      <protection locked="0"/>
    </xf>
    <xf numFmtId="178" fontId="0" fillId="36" borderId="15" xfId="70" applyNumberFormat="1" applyFont="1" applyFill="1" applyBorder="1" applyAlignment="1">
      <alignment vertical="center"/>
    </xf>
    <xf numFmtId="173" fontId="0" fillId="36" borderId="22" xfId="70" applyNumberFormat="1" applyFont="1" applyFill="1" applyBorder="1" applyAlignment="1" applyProtection="1">
      <alignment vertical="center"/>
      <protection/>
    </xf>
    <xf numFmtId="173" fontId="0" fillId="36" borderId="22" xfId="70" applyNumberFormat="1" applyFont="1" applyFill="1" applyBorder="1" applyAlignment="1" applyProtection="1">
      <alignment vertical="center"/>
      <protection/>
    </xf>
    <xf numFmtId="167" fontId="13" fillId="36" borderId="0" xfId="70" applyNumberFormat="1" applyFont="1" applyFill="1" applyBorder="1" applyAlignment="1" applyProtection="1">
      <alignment horizontal="left" vertical="center"/>
      <protection/>
    </xf>
    <xf numFmtId="167" fontId="13" fillId="36" borderId="0" xfId="70" applyNumberFormat="1" applyFont="1" applyFill="1" applyBorder="1" applyAlignment="1" applyProtection="1">
      <alignment horizontal="left" vertical="center" wrapText="1"/>
      <protection/>
    </xf>
    <xf numFmtId="0" fontId="30" fillId="36" borderId="0" xfId="51" applyFont="1" applyFill="1" applyBorder="1" applyAlignment="1">
      <alignment horizontal="left" vertical="center" wrapText="1"/>
      <protection/>
    </xf>
    <xf numFmtId="167" fontId="13" fillId="36" borderId="19" xfId="70" applyNumberFormat="1" applyFont="1" applyFill="1" applyBorder="1" applyAlignment="1" applyProtection="1">
      <alignment horizontal="left" vertical="center"/>
      <protection/>
    </xf>
    <xf numFmtId="175" fontId="0" fillId="36" borderId="19" xfId="70" applyNumberFormat="1" applyFont="1" applyFill="1" applyBorder="1" applyAlignment="1" applyProtection="1">
      <alignment horizontal="center" vertical="center"/>
      <protection/>
    </xf>
    <xf numFmtId="178" fontId="0" fillId="36" borderId="20" xfId="70" applyNumberFormat="1" applyFont="1" applyFill="1" applyBorder="1" applyAlignment="1">
      <alignment vertical="center"/>
    </xf>
    <xf numFmtId="173" fontId="0" fillId="36" borderId="44" xfId="70" applyNumberFormat="1" applyFont="1" applyFill="1" applyBorder="1" applyAlignment="1" applyProtection="1">
      <alignment vertical="center"/>
      <protection locked="0"/>
    </xf>
    <xf numFmtId="175" fontId="0" fillId="36" borderId="17" xfId="70" applyNumberFormat="1" applyFont="1" applyFill="1" applyBorder="1" applyAlignment="1" applyProtection="1">
      <alignment horizontal="center" vertical="center"/>
      <protection/>
    </xf>
    <xf numFmtId="173" fontId="0" fillId="36" borderId="20" xfId="70" applyNumberFormat="1" applyFont="1" applyFill="1" applyBorder="1" applyAlignment="1">
      <alignment horizontal="right" vertical="center"/>
    </xf>
    <xf numFmtId="173" fontId="0" fillId="36" borderId="44" xfId="70" applyNumberFormat="1" applyFont="1" applyFill="1" applyBorder="1" applyAlignment="1" applyProtection="1">
      <alignment vertical="center"/>
      <protection/>
    </xf>
    <xf numFmtId="0" fontId="29" fillId="36" borderId="24" xfId="51" applyFont="1" applyFill="1" applyBorder="1" applyAlignment="1">
      <alignment horizontal="left" vertical="center" wrapText="1"/>
      <protection/>
    </xf>
    <xf numFmtId="173" fontId="0" fillId="36" borderId="60" xfId="70" applyNumberFormat="1" applyFont="1" applyFill="1" applyBorder="1" applyAlignment="1" applyProtection="1">
      <alignment vertical="center"/>
      <protection locked="0"/>
    </xf>
    <xf numFmtId="173" fontId="0" fillId="36" borderId="13" xfId="70" applyNumberFormat="1" applyFont="1" applyFill="1" applyBorder="1" applyAlignment="1" applyProtection="1">
      <alignment vertical="center"/>
      <protection locked="0"/>
    </xf>
    <xf numFmtId="173" fontId="8" fillId="36" borderId="23" xfId="70" applyNumberFormat="1" applyFont="1" applyFill="1" applyBorder="1" applyAlignment="1" applyProtection="1">
      <alignment vertical="center"/>
      <protection/>
    </xf>
    <xf numFmtId="173" fontId="0" fillId="36" borderId="23" xfId="70" applyNumberFormat="1" applyFont="1" applyFill="1" applyBorder="1" applyAlignment="1" applyProtection="1">
      <alignment vertical="center"/>
      <protection locked="0"/>
    </xf>
    <xf numFmtId="175" fontId="8" fillId="36" borderId="19" xfId="70" applyNumberFormat="1" applyFont="1" applyFill="1" applyBorder="1" applyAlignment="1" applyProtection="1">
      <alignment horizontal="center" vertical="center"/>
      <protection/>
    </xf>
    <xf numFmtId="175" fontId="8" fillId="36" borderId="24" xfId="70" applyNumberFormat="1" applyFont="1" applyFill="1" applyBorder="1" applyAlignment="1" applyProtection="1">
      <alignment horizontal="center" vertical="center"/>
      <protection/>
    </xf>
    <xf numFmtId="178" fontId="8" fillId="36" borderId="23" xfId="70" applyNumberFormat="1" applyFont="1" applyFill="1" applyBorder="1" applyAlignment="1">
      <alignment vertical="center"/>
    </xf>
    <xf numFmtId="173" fontId="0" fillId="36" borderId="60" xfId="70" applyNumberFormat="1" applyFont="1" applyFill="1" applyBorder="1" applyAlignment="1" applyProtection="1">
      <alignment vertical="center"/>
      <protection/>
    </xf>
    <xf numFmtId="175" fontId="8" fillId="36" borderId="49" xfId="70" applyNumberFormat="1" applyFont="1" applyFill="1" applyBorder="1" applyAlignment="1" applyProtection="1">
      <alignment horizontal="center" vertical="center"/>
      <protection/>
    </xf>
    <xf numFmtId="175" fontId="8" fillId="36" borderId="61" xfId="70" applyNumberFormat="1" applyFont="1" applyFill="1" applyBorder="1" applyAlignment="1" applyProtection="1">
      <alignment horizontal="center" vertical="center"/>
      <protection/>
    </xf>
    <xf numFmtId="173" fontId="0" fillId="36" borderId="60" xfId="70" applyNumberFormat="1" applyFont="1" applyFill="1" applyBorder="1" applyAlignment="1" applyProtection="1">
      <alignment vertical="center"/>
      <protection/>
    </xf>
    <xf numFmtId="173" fontId="0" fillId="36" borderId="45" xfId="70" applyNumberFormat="1" applyFont="1" applyFill="1" applyBorder="1" applyAlignment="1" applyProtection="1">
      <alignment vertical="center"/>
      <protection/>
    </xf>
    <xf numFmtId="173" fontId="0" fillId="36" borderId="13" xfId="70" applyNumberFormat="1" applyFont="1" applyFill="1" applyBorder="1" applyAlignment="1" applyProtection="1">
      <alignment vertical="center"/>
      <protection/>
    </xf>
    <xf numFmtId="173" fontId="0" fillId="36" borderId="23" xfId="70" applyNumberFormat="1" applyFont="1" applyFill="1" applyBorder="1" applyAlignment="1" applyProtection="1">
      <alignment vertical="center"/>
      <protection/>
    </xf>
    <xf numFmtId="167" fontId="13" fillId="36" borderId="37" xfId="70" applyNumberFormat="1" applyFont="1" applyFill="1" applyBorder="1" applyAlignment="1" applyProtection="1">
      <alignment horizontal="left" vertical="center"/>
      <protection/>
    </xf>
    <xf numFmtId="167" fontId="13" fillId="36" borderId="11" xfId="70" applyNumberFormat="1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>
      <alignment vertical="center"/>
    </xf>
    <xf numFmtId="0" fontId="0" fillId="36" borderId="24" xfId="0" applyFont="1" applyFill="1" applyBorder="1" applyAlignment="1">
      <alignment vertical="center"/>
    </xf>
    <xf numFmtId="167" fontId="13" fillId="36" borderId="17" xfId="70" applyNumberFormat="1" applyFont="1" applyFill="1" applyBorder="1" applyAlignment="1" applyProtection="1">
      <alignment horizontal="left" vertical="center"/>
      <protection/>
    </xf>
    <xf numFmtId="0" fontId="30" fillId="36" borderId="17" xfId="51" applyFont="1" applyFill="1" applyBorder="1" applyAlignment="1">
      <alignment horizontal="left" vertical="center" wrapText="1"/>
      <protection/>
    </xf>
    <xf numFmtId="0" fontId="0" fillId="0" borderId="24" xfId="0" applyFont="1" applyBorder="1" applyAlignment="1">
      <alignment vertical="center"/>
    </xf>
    <xf numFmtId="175" fontId="0" fillId="0" borderId="16" xfId="70" applyNumberFormat="1" applyFont="1" applyFill="1" applyBorder="1" applyAlignment="1" applyProtection="1">
      <alignment horizontal="center" vertical="center"/>
      <protection/>
    </xf>
    <xf numFmtId="173" fontId="8" fillId="0" borderId="45" xfId="70" applyNumberFormat="1" applyFont="1" applyFill="1" applyBorder="1" applyAlignment="1" applyProtection="1">
      <alignment horizontal="center" vertical="center"/>
      <protection/>
    </xf>
    <xf numFmtId="173" fontId="0" fillId="0" borderId="45" xfId="70" applyNumberFormat="1" applyFont="1" applyFill="1" applyBorder="1" applyAlignment="1" applyProtection="1">
      <alignment vertical="center"/>
      <protection locked="0"/>
    </xf>
    <xf numFmtId="178" fontId="0" fillId="0" borderId="60" xfId="70" applyNumberFormat="1" applyFont="1" applyFill="1" applyBorder="1" applyAlignment="1">
      <alignment vertical="center"/>
    </xf>
    <xf numFmtId="173" fontId="0" fillId="0" borderId="15" xfId="70" applyNumberFormat="1" applyFont="1" applyFill="1" applyBorder="1" applyAlignment="1" applyProtection="1">
      <alignment vertical="center"/>
      <protection locked="0"/>
    </xf>
    <xf numFmtId="175" fontId="0" fillId="0" borderId="62" xfId="70" applyNumberFormat="1" applyFont="1" applyFill="1" applyBorder="1" applyAlignment="1" applyProtection="1">
      <alignment horizontal="center" vertical="center"/>
      <protection/>
    </xf>
    <xf numFmtId="173" fontId="0" fillId="0" borderId="22" xfId="70" applyNumberFormat="1" applyFont="1" applyBorder="1" applyAlignment="1">
      <alignment horizontal="right" vertical="center"/>
    </xf>
    <xf numFmtId="0" fontId="30" fillId="0" borderId="0" xfId="51" applyFont="1" applyBorder="1" applyAlignment="1">
      <alignment horizontal="left" vertical="center" wrapText="1"/>
      <protection/>
    </xf>
    <xf numFmtId="175" fontId="0" fillId="0" borderId="0" xfId="70" applyNumberFormat="1" applyFont="1" applyFill="1" applyBorder="1" applyAlignment="1" applyProtection="1">
      <alignment horizontal="center" vertical="center"/>
      <protection/>
    </xf>
    <xf numFmtId="175" fontId="0" fillId="0" borderId="0" xfId="7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173" fontId="0" fillId="0" borderId="60" xfId="70" applyNumberFormat="1" applyFont="1" applyFill="1" applyBorder="1" applyAlignment="1" applyProtection="1">
      <alignment vertical="center"/>
      <protection/>
    </xf>
    <xf numFmtId="178" fontId="8" fillId="0" borderId="45" xfId="70" applyNumberFormat="1" applyFont="1" applyFill="1" applyBorder="1" applyAlignment="1">
      <alignment vertical="center"/>
    </xf>
    <xf numFmtId="173" fontId="8" fillId="0" borderId="18" xfId="70" applyNumberFormat="1" applyFont="1" applyFill="1" applyBorder="1" applyAlignment="1" applyProtection="1">
      <alignment horizontal="center" vertical="center"/>
      <protection/>
    </xf>
    <xf numFmtId="167" fontId="13" fillId="0" borderId="0" xfId="70" applyNumberFormat="1" applyFont="1" applyFill="1" applyBorder="1" applyAlignment="1" applyProtection="1">
      <alignment horizontal="left" vertical="center"/>
      <protection/>
    </xf>
    <xf numFmtId="173" fontId="0" fillId="0" borderId="15" xfId="70" applyNumberFormat="1" applyFont="1" applyFill="1" applyBorder="1" applyAlignment="1" applyProtection="1">
      <alignment vertical="center"/>
      <protection/>
    </xf>
    <xf numFmtId="167" fontId="13" fillId="0" borderId="0" xfId="70" applyNumberFormat="1" applyFont="1" applyFill="1" applyBorder="1" applyAlignment="1" applyProtection="1">
      <alignment horizontal="left" vertical="center" wrapText="1"/>
      <protection/>
    </xf>
    <xf numFmtId="173" fontId="8" fillId="0" borderId="60" xfId="70" applyNumberFormat="1" applyFont="1" applyFill="1" applyBorder="1" applyAlignment="1" applyProtection="1">
      <alignment vertical="center"/>
      <protection/>
    </xf>
    <xf numFmtId="167" fontId="13" fillId="0" borderId="37" xfId="70" applyNumberFormat="1" applyFont="1" applyFill="1" applyBorder="1" applyAlignment="1" applyProtection="1">
      <alignment horizontal="left" vertical="center"/>
      <protection/>
    </xf>
    <xf numFmtId="167" fontId="13" fillId="0" borderId="24" xfId="70" applyNumberFormat="1" applyFont="1" applyFill="1" applyBorder="1" applyAlignment="1" applyProtection="1">
      <alignment horizontal="left" vertical="center"/>
      <protection/>
    </xf>
    <xf numFmtId="173" fontId="8" fillId="0" borderId="27" xfId="70" applyNumberFormat="1" applyFont="1" applyBorder="1" applyAlignment="1" quotePrefix="1">
      <alignment horizontal="right" vertical="center"/>
    </xf>
    <xf numFmtId="173" fontId="8" fillId="0" borderId="12" xfId="70" applyNumberFormat="1" applyFont="1" applyBorder="1" applyAlignment="1">
      <alignment horizontal="right" vertical="center"/>
    </xf>
    <xf numFmtId="175" fontId="0" fillId="0" borderId="59" xfId="70" applyNumberFormat="1" applyFont="1" applyFill="1" applyBorder="1" applyAlignment="1" applyProtection="1">
      <alignment horizontal="center" vertical="center"/>
      <protection/>
    </xf>
    <xf numFmtId="175" fontId="0" fillId="0" borderId="59" xfId="70" applyNumberFormat="1" applyFont="1" applyFill="1" applyBorder="1" applyAlignment="1" applyProtection="1">
      <alignment horizontal="center" vertical="center"/>
      <protection/>
    </xf>
    <xf numFmtId="173" fontId="8" fillId="0" borderId="34" xfId="70" applyNumberFormat="1" applyFont="1" applyFill="1" applyBorder="1" applyAlignment="1" applyProtection="1">
      <alignment horizontal="center" vertical="center"/>
      <protection/>
    </xf>
    <xf numFmtId="173" fontId="0" fillId="0" borderId="44" xfId="70" applyNumberFormat="1" applyFont="1" applyFill="1" applyBorder="1" applyAlignment="1" applyProtection="1">
      <alignment vertical="center"/>
      <protection locked="0"/>
    </xf>
    <xf numFmtId="175" fontId="0" fillId="0" borderId="49" xfId="70" applyNumberFormat="1" applyFont="1" applyFill="1" applyBorder="1" applyAlignment="1" applyProtection="1">
      <alignment horizontal="center" vertical="center"/>
      <protection/>
    </xf>
    <xf numFmtId="175" fontId="8" fillId="0" borderId="61" xfId="70" applyNumberFormat="1" applyFont="1" applyFill="1" applyBorder="1" applyAlignment="1" applyProtection="1">
      <alignment horizontal="center" vertical="center"/>
      <protection/>
    </xf>
    <xf numFmtId="175" fontId="8" fillId="0" borderId="49" xfId="70" applyNumberFormat="1" applyFont="1" applyFill="1" applyBorder="1" applyAlignment="1" applyProtection="1">
      <alignment horizontal="center" vertical="center"/>
      <protection/>
    </xf>
    <xf numFmtId="175" fontId="0" fillId="0" borderId="49" xfId="70" applyNumberFormat="1" applyFont="1" applyFill="1" applyBorder="1" applyAlignment="1" applyProtection="1">
      <alignment horizontal="center" vertical="center"/>
      <protection/>
    </xf>
    <xf numFmtId="173" fontId="0" fillId="0" borderId="13" xfId="70" applyNumberFormat="1" applyFont="1" applyFill="1" applyBorder="1" applyAlignment="1" applyProtection="1">
      <alignment vertical="center"/>
      <protection locked="0"/>
    </xf>
    <xf numFmtId="173" fontId="0" fillId="0" borderId="22" xfId="70" applyNumberFormat="1" applyFont="1" applyFill="1" applyBorder="1" applyAlignment="1" applyProtection="1">
      <alignment vertical="center"/>
      <protection locked="0"/>
    </xf>
    <xf numFmtId="173" fontId="0" fillId="0" borderId="23" xfId="70" applyNumberFormat="1" applyFont="1" applyFill="1" applyBorder="1" applyAlignment="1" applyProtection="1">
      <alignment vertical="center"/>
      <protection locked="0"/>
    </xf>
    <xf numFmtId="173" fontId="8" fillId="0" borderId="31" xfId="70" applyNumberFormat="1" applyFont="1" applyFill="1" applyBorder="1" applyAlignment="1" applyProtection="1">
      <alignment vertical="center"/>
      <protection locked="0"/>
    </xf>
    <xf numFmtId="173" fontId="0" fillId="0" borderId="44" xfId="70" applyNumberFormat="1" applyFont="1" applyBorder="1" applyAlignment="1">
      <alignment horizontal="right" vertical="center"/>
    </xf>
    <xf numFmtId="175" fontId="8" fillId="0" borderId="24" xfId="70" applyNumberFormat="1" applyFont="1" applyFill="1" applyBorder="1" applyAlignment="1" applyProtection="1">
      <alignment horizontal="center" vertical="center"/>
      <protection/>
    </xf>
    <xf numFmtId="175" fontId="0" fillId="0" borderId="21" xfId="70" applyNumberFormat="1" applyFont="1" applyFill="1" applyBorder="1" applyAlignment="1" applyProtection="1">
      <alignment horizontal="center" vertical="center"/>
      <protection/>
    </xf>
    <xf numFmtId="175" fontId="0" fillId="0" borderId="19" xfId="70" applyNumberFormat="1" applyFont="1" applyFill="1" applyBorder="1" applyAlignment="1" applyProtection="1">
      <alignment horizontal="center" vertical="center"/>
      <protection/>
    </xf>
    <xf numFmtId="175" fontId="8" fillId="0" borderId="19" xfId="70" applyNumberFormat="1" applyFont="1" applyFill="1" applyBorder="1" applyAlignment="1" applyProtection="1">
      <alignment horizontal="center" vertical="center"/>
      <protection/>
    </xf>
    <xf numFmtId="173" fontId="0" fillId="0" borderId="13" xfId="70" applyNumberFormat="1" applyFont="1" applyFill="1" applyBorder="1" applyAlignment="1" applyProtection="1">
      <alignment vertical="center"/>
      <protection/>
    </xf>
    <xf numFmtId="173" fontId="0" fillId="0" borderId="22" xfId="70" applyNumberFormat="1" applyFont="1" applyFill="1" applyBorder="1" applyAlignment="1" applyProtection="1">
      <alignment vertical="center"/>
      <protection/>
    </xf>
    <xf numFmtId="178" fontId="8" fillId="0" borderId="10" xfId="70" applyNumberFormat="1" applyFont="1" applyFill="1" applyBorder="1" applyAlignment="1">
      <alignment vertical="center"/>
    </xf>
    <xf numFmtId="173" fontId="0" fillId="0" borderId="22" xfId="70" applyNumberFormat="1" applyFont="1" applyBorder="1" applyAlignment="1">
      <alignment horizontal="right" vertical="center"/>
    </xf>
    <xf numFmtId="178" fontId="8" fillId="0" borderId="23" xfId="70" applyNumberFormat="1" applyFont="1" applyFill="1" applyBorder="1" applyAlignment="1">
      <alignment vertical="center"/>
    </xf>
    <xf numFmtId="173" fontId="0" fillId="0" borderId="44" xfId="70" applyNumberFormat="1" applyFont="1" applyFill="1" applyBorder="1" applyAlignment="1" applyProtection="1">
      <alignment horizontal="center" vertical="center"/>
      <protection/>
    </xf>
    <xf numFmtId="173" fontId="0" fillId="0" borderId="13" xfId="70" applyNumberFormat="1" applyFont="1" applyFill="1" applyBorder="1" applyAlignment="1" applyProtection="1">
      <alignment vertical="center"/>
      <protection locked="0"/>
    </xf>
    <xf numFmtId="173" fontId="0" fillId="0" borderId="22" xfId="70" applyNumberFormat="1" applyFont="1" applyFill="1" applyBorder="1" applyAlignment="1" applyProtection="1">
      <alignment horizontal="center" vertical="center"/>
      <protection/>
    </xf>
    <xf numFmtId="173" fontId="0" fillId="0" borderId="60" xfId="70" applyNumberFormat="1" applyFont="1" applyFill="1" applyBorder="1" applyAlignment="1" applyProtection="1">
      <alignment vertical="center"/>
      <protection/>
    </xf>
    <xf numFmtId="173" fontId="0" fillId="0" borderId="45" xfId="70" applyNumberFormat="1" applyFont="1" applyFill="1" applyBorder="1" applyAlignment="1" applyProtection="1">
      <alignment vertical="center"/>
      <protection/>
    </xf>
    <xf numFmtId="173" fontId="0" fillId="0" borderId="45" xfId="70" applyNumberFormat="1" applyFont="1" applyFill="1" applyBorder="1" applyAlignment="1" applyProtection="1">
      <alignment horizontal="center" vertical="center"/>
      <protection/>
    </xf>
    <xf numFmtId="175" fontId="0" fillId="0" borderId="19" xfId="70" applyNumberFormat="1" applyFont="1" applyFill="1" applyBorder="1" applyAlignment="1" applyProtection="1">
      <alignment horizontal="center" vertical="center"/>
      <protection/>
    </xf>
    <xf numFmtId="173" fontId="0" fillId="0" borderId="13" xfId="70" applyNumberFormat="1" applyFont="1" applyBorder="1" applyAlignment="1">
      <alignment horizontal="right" vertical="center"/>
    </xf>
    <xf numFmtId="167" fontId="8" fillId="0" borderId="18" xfId="70" applyNumberFormat="1" applyFont="1" applyFill="1" applyBorder="1" applyAlignment="1" applyProtection="1">
      <alignment horizontal="center" vertical="center"/>
      <protection/>
    </xf>
    <xf numFmtId="167" fontId="8" fillId="0" borderId="12" xfId="70" applyNumberFormat="1" applyFont="1" applyFill="1" applyBorder="1" applyAlignment="1" applyProtection="1">
      <alignment horizontal="center" vertical="center"/>
      <protection/>
    </xf>
    <xf numFmtId="0" fontId="29" fillId="0" borderId="11" xfId="51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vertical="center"/>
    </xf>
    <xf numFmtId="167" fontId="13" fillId="0" borderId="17" xfId="70" applyNumberFormat="1" applyFont="1" applyFill="1" applyBorder="1" applyAlignment="1" applyProtection="1">
      <alignment horizontal="left" vertical="center"/>
      <protection/>
    </xf>
    <xf numFmtId="178" fontId="8" fillId="36" borderId="63" xfId="70" applyNumberFormat="1" applyFont="1" applyFill="1" applyBorder="1" applyAlignment="1">
      <alignment vertical="center"/>
    </xf>
    <xf numFmtId="173" fontId="8" fillId="36" borderId="42" xfId="70" applyNumberFormat="1" applyFont="1" applyFill="1" applyBorder="1" applyAlignment="1" applyProtection="1">
      <alignment vertical="center"/>
      <protection/>
    </xf>
    <xf numFmtId="175" fontId="8" fillId="36" borderId="35" xfId="70" applyNumberFormat="1" applyFont="1" applyFill="1" applyBorder="1" applyAlignment="1" applyProtection="1">
      <alignment horizontal="center" vertical="center"/>
      <protection/>
    </xf>
    <xf numFmtId="178" fontId="8" fillId="36" borderId="36" xfId="70" applyNumberFormat="1" applyFont="1" applyFill="1" applyBorder="1" applyAlignment="1">
      <alignment vertical="center"/>
    </xf>
    <xf numFmtId="175" fontId="8" fillId="36" borderId="64" xfId="70" applyNumberFormat="1" applyFont="1" applyFill="1" applyBorder="1" applyAlignment="1" applyProtection="1">
      <alignment horizontal="center" vertical="center"/>
      <protection/>
    </xf>
    <xf numFmtId="178" fontId="0" fillId="0" borderId="63" xfId="70" applyNumberFormat="1" applyFont="1" applyFill="1" applyBorder="1" applyAlignment="1">
      <alignment vertical="center"/>
    </xf>
    <xf numFmtId="173" fontId="0" fillId="0" borderId="34" xfId="70" applyNumberFormat="1" applyFont="1" applyFill="1" applyBorder="1" applyAlignment="1" applyProtection="1">
      <alignment vertical="center"/>
      <protection/>
    </xf>
    <xf numFmtId="175" fontId="0" fillId="0" borderId="42" xfId="70" applyNumberFormat="1" applyFont="1" applyFill="1" applyBorder="1" applyAlignment="1" applyProtection="1">
      <alignment horizontal="center" vertical="center"/>
      <protection/>
    </xf>
    <xf numFmtId="178" fontId="0" fillId="0" borderId="36" xfId="70" applyNumberFormat="1" applyFont="1" applyFill="1" applyBorder="1" applyAlignment="1">
      <alignment vertical="center"/>
    </xf>
    <xf numFmtId="175" fontId="0" fillId="0" borderId="64" xfId="70" applyNumberFormat="1" applyFont="1" applyFill="1" applyBorder="1" applyAlignment="1" applyProtection="1">
      <alignment horizontal="center" vertical="center"/>
      <protection/>
    </xf>
    <xf numFmtId="0" fontId="8" fillId="45" borderId="65" xfId="0" applyFont="1" applyFill="1" applyBorder="1" applyAlignment="1">
      <alignment horizontal="left" vertical="center"/>
    </xf>
    <xf numFmtId="0" fontId="8" fillId="45" borderId="51" xfId="0" applyFont="1" applyFill="1" applyBorder="1" applyAlignment="1">
      <alignment horizontal="left" vertical="center"/>
    </xf>
    <xf numFmtId="173" fontId="8" fillId="45" borderId="50" xfId="70" applyNumberFormat="1" applyFont="1" applyFill="1" applyBorder="1" applyAlignment="1" applyProtection="1">
      <alignment horizontal="center" vertical="center"/>
      <protection/>
    </xf>
    <xf numFmtId="173" fontId="8" fillId="45" borderId="27" xfId="0" applyNumberFormat="1" applyFont="1" applyFill="1" applyBorder="1" applyAlignment="1">
      <alignment vertical="center"/>
    </xf>
    <xf numFmtId="173" fontId="8" fillId="45" borderId="27" xfId="70" applyNumberFormat="1" applyFont="1" applyFill="1" applyBorder="1" applyAlignment="1" applyProtection="1">
      <alignment horizontal="center" vertical="center"/>
      <protection/>
    </xf>
    <xf numFmtId="175" fontId="8" fillId="45" borderId="51" xfId="70" applyNumberFormat="1" applyFont="1" applyFill="1" applyBorder="1" applyAlignment="1" applyProtection="1">
      <alignment horizontal="center" vertical="center"/>
      <protection/>
    </xf>
    <xf numFmtId="175" fontId="8" fillId="45" borderId="52" xfId="70" applyNumberFormat="1" applyFont="1" applyFill="1" applyBorder="1" applyAlignment="1" applyProtection="1">
      <alignment horizontal="center" vertical="center"/>
      <protection/>
    </xf>
    <xf numFmtId="173" fontId="8" fillId="45" borderId="37" xfId="70" applyNumberFormat="1" applyFont="1" applyFill="1" applyBorder="1" applyAlignment="1" applyProtection="1">
      <alignment horizontal="center" vertical="center"/>
      <protection/>
    </xf>
    <xf numFmtId="173" fontId="8" fillId="45" borderId="63" xfId="70" applyNumberFormat="1" applyFont="1" applyFill="1" applyBorder="1" applyAlignment="1" applyProtection="1">
      <alignment horizontal="center" vertical="center"/>
      <protection/>
    </xf>
    <xf numFmtId="167" fontId="18" fillId="0" borderId="25" xfId="70" applyNumberFormat="1" applyFont="1" applyFill="1" applyBorder="1" applyAlignment="1" applyProtection="1">
      <alignment horizontal="left" vertical="center"/>
      <protection/>
    </xf>
    <xf numFmtId="173" fontId="0" fillId="0" borderId="60" xfId="70" applyNumberFormat="1" applyFont="1" applyFill="1" applyBorder="1" applyAlignment="1" applyProtection="1">
      <alignment vertical="center"/>
      <protection locked="0"/>
    </xf>
    <xf numFmtId="173" fontId="0" fillId="0" borderId="45" xfId="70" applyNumberFormat="1" applyFont="1" applyFill="1" applyBorder="1" applyAlignment="1" applyProtection="1">
      <alignment vertical="center"/>
      <protection/>
    </xf>
    <xf numFmtId="175" fontId="8" fillId="0" borderId="66" xfId="70" applyNumberFormat="1" applyFont="1" applyFill="1" applyBorder="1" applyAlignment="1" applyProtection="1">
      <alignment horizontal="center" vertical="center"/>
      <protection/>
    </xf>
    <xf numFmtId="175" fontId="0" fillId="0" borderId="67" xfId="70" applyNumberFormat="1" applyFont="1" applyFill="1" applyBorder="1" applyAlignment="1" applyProtection="1">
      <alignment horizontal="center" vertical="center"/>
      <protection/>
    </xf>
    <xf numFmtId="175" fontId="8" fillId="0" borderId="59" xfId="70" applyNumberFormat="1" applyFont="1" applyFill="1" applyBorder="1" applyAlignment="1" applyProtection="1">
      <alignment horizontal="center" vertical="center"/>
      <protection/>
    </xf>
    <xf numFmtId="175" fontId="8" fillId="0" borderId="68" xfId="70" applyNumberFormat="1" applyFont="1" applyFill="1" applyBorder="1" applyAlignment="1" applyProtection="1">
      <alignment horizontal="center" vertical="center"/>
      <protection/>
    </xf>
    <xf numFmtId="173" fontId="8" fillId="0" borderId="27" xfId="70" applyNumberFormat="1" applyFont="1" applyFill="1" applyBorder="1" applyAlignment="1" applyProtection="1">
      <alignment vertical="center"/>
      <protection/>
    </xf>
    <xf numFmtId="173" fontId="8" fillId="0" borderId="18" xfId="7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167" fontId="18" fillId="0" borderId="61" xfId="70" applyNumberFormat="1" applyFont="1" applyFill="1" applyBorder="1" applyAlignment="1" applyProtection="1">
      <alignment horizontal="left" vertical="center"/>
      <protection/>
    </xf>
    <xf numFmtId="167" fontId="0" fillId="0" borderId="15" xfId="70" applyNumberFormat="1" applyFont="1" applyFill="1" applyBorder="1" applyAlignment="1" applyProtection="1">
      <alignment horizontal="center" vertical="center"/>
      <protection/>
    </xf>
    <xf numFmtId="167" fontId="0" fillId="0" borderId="18" xfId="70" applyNumberFormat="1" applyFont="1" applyFill="1" applyBorder="1" applyAlignment="1" applyProtection="1">
      <alignment horizontal="center" vertical="center"/>
      <protection/>
    </xf>
    <xf numFmtId="175" fontId="0" fillId="0" borderId="61" xfId="70" applyNumberFormat="1" applyFont="1" applyFill="1" applyBorder="1" applyAlignment="1" applyProtection="1">
      <alignment horizontal="center" vertical="center"/>
      <protection/>
    </xf>
    <xf numFmtId="175" fontId="0" fillId="0" borderId="67" xfId="70" applyNumberFormat="1" applyFont="1" applyFill="1" applyBorder="1" applyAlignment="1" applyProtection="1">
      <alignment horizontal="center" vertical="center"/>
      <protection/>
    </xf>
    <xf numFmtId="178" fontId="0" fillId="0" borderId="10" xfId="70" applyNumberFormat="1" applyFont="1" applyFill="1" applyBorder="1" applyAlignment="1">
      <alignment vertical="center"/>
    </xf>
    <xf numFmtId="178" fontId="0" fillId="0" borderId="23" xfId="70" applyNumberFormat="1" applyFont="1" applyFill="1" applyBorder="1" applyAlignment="1">
      <alignment vertical="center"/>
    </xf>
    <xf numFmtId="173" fontId="0" fillId="0" borderId="23" xfId="70" applyNumberFormat="1" applyFont="1" applyFill="1" applyBorder="1" applyAlignment="1" applyProtection="1">
      <alignment vertical="center"/>
      <protection/>
    </xf>
    <xf numFmtId="178" fontId="0" fillId="0" borderId="13" xfId="70" applyNumberFormat="1" applyFont="1" applyFill="1" applyBorder="1" applyAlignment="1">
      <alignment vertical="center"/>
    </xf>
    <xf numFmtId="173" fontId="0" fillId="0" borderId="10" xfId="70" applyNumberFormat="1" applyFont="1" applyFill="1" applyBorder="1" applyAlignment="1" applyProtection="1">
      <alignment vertical="center"/>
      <protection/>
    </xf>
    <xf numFmtId="173" fontId="0" fillId="0" borderId="10" xfId="70" applyNumberFormat="1" applyFont="1" applyFill="1" applyBorder="1" applyAlignment="1" applyProtection="1">
      <alignment vertical="center"/>
      <protection locked="0"/>
    </xf>
    <xf numFmtId="175" fontId="0" fillId="0" borderId="21" xfId="70" applyNumberFormat="1" applyFont="1" applyFill="1" applyBorder="1" applyAlignment="1" applyProtection="1">
      <alignment horizontal="center" vertical="center"/>
      <protection/>
    </xf>
    <xf numFmtId="175" fontId="8" fillId="0" borderId="0" xfId="70" applyNumberFormat="1" applyFont="1" applyFill="1" applyBorder="1" applyAlignment="1" applyProtection="1">
      <alignment horizontal="center" vertical="center"/>
      <protection/>
    </xf>
    <xf numFmtId="173" fontId="0" fillId="0" borderId="22" xfId="70" applyNumberFormat="1" applyFont="1" applyFill="1" applyBorder="1" applyAlignment="1" applyProtection="1">
      <alignment vertical="center"/>
      <protection/>
    </xf>
    <xf numFmtId="173" fontId="0" fillId="0" borderId="13" xfId="70" applyNumberFormat="1" applyFont="1" applyFill="1" applyBorder="1" applyAlignment="1" applyProtection="1">
      <alignment vertical="center"/>
      <protection/>
    </xf>
    <xf numFmtId="173" fontId="0" fillId="0" borderId="23" xfId="70" applyNumberFormat="1" applyFont="1" applyFill="1" applyBorder="1" applyAlignment="1" applyProtection="1">
      <alignment vertical="center"/>
      <protection/>
    </xf>
    <xf numFmtId="173" fontId="8" fillId="0" borderId="22" xfId="70" applyNumberFormat="1" applyFont="1" applyBorder="1" applyAlignment="1">
      <alignment horizontal="right" vertical="center"/>
    </xf>
    <xf numFmtId="173" fontId="0" fillId="0" borderId="10" xfId="70" applyNumberFormat="1" applyFont="1" applyFill="1" applyBorder="1" applyAlignment="1" applyProtection="1">
      <alignment vertical="center"/>
      <protection/>
    </xf>
    <xf numFmtId="173" fontId="8" fillId="0" borderId="54" xfId="70" applyNumberFormat="1" applyFont="1" applyFill="1" applyBorder="1" applyAlignment="1" applyProtection="1">
      <alignment vertical="center"/>
      <protection locked="0"/>
    </xf>
    <xf numFmtId="173" fontId="0" fillId="0" borderId="10" xfId="70" applyNumberFormat="1" applyFont="1" applyFill="1" applyBorder="1" applyAlignment="1" applyProtection="1">
      <alignment vertical="center"/>
      <protection locked="0"/>
    </xf>
    <xf numFmtId="173" fontId="0" fillId="0" borderId="42" xfId="70" applyNumberFormat="1" applyFont="1" applyFill="1" applyBorder="1" applyAlignment="1" applyProtection="1">
      <alignment vertical="center"/>
      <protection/>
    </xf>
    <xf numFmtId="0" fontId="8" fillId="45" borderId="44" xfId="0" applyFont="1" applyFill="1" applyBorder="1" applyAlignment="1">
      <alignment horizontal="center" vertical="center"/>
    </xf>
    <xf numFmtId="0" fontId="8" fillId="45" borderId="22" xfId="0" applyFont="1" applyFill="1" applyBorder="1" applyAlignment="1">
      <alignment horizontal="center" vertical="center"/>
    </xf>
    <xf numFmtId="0" fontId="8" fillId="45" borderId="62" xfId="0" applyFont="1" applyFill="1" applyBorder="1" applyAlignment="1">
      <alignment horizontal="center" vertical="center"/>
    </xf>
    <xf numFmtId="175" fontId="8" fillId="36" borderId="52" xfId="70" applyNumberFormat="1" applyFont="1" applyFill="1" applyBorder="1" applyAlignment="1" applyProtection="1">
      <alignment vertical="center"/>
      <protection/>
    </xf>
    <xf numFmtId="175" fontId="8" fillId="36" borderId="47" xfId="70" applyNumberFormat="1" applyFont="1" applyFill="1" applyBorder="1" applyAlignment="1" applyProtection="1">
      <alignment vertical="center"/>
      <protection/>
    </xf>
    <xf numFmtId="175" fontId="0" fillId="36" borderId="59" xfId="70" applyNumberFormat="1" applyFont="1" applyFill="1" applyBorder="1" applyAlignment="1" applyProtection="1">
      <alignment vertical="center"/>
      <protection/>
    </xf>
    <xf numFmtId="175" fontId="0" fillId="36" borderId="49" xfId="70" applyNumberFormat="1" applyFont="1" applyFill="1" applyBorder="1" applyAlignment="1" applyProtection="1">
      <alignment vertical="center"/>
      <protection/>
    </xf>
    <xf numFmtId="175" fontId="8" fillId="36" borderId="49" xfId="70" applyNumberFormat="1" applyFont="1" applyFill="1" applyBorder="1" applyAlignment="1" applyProtection="1">
      <alignment vertical="center"/>
      <protection/>
    </xf>
    <xf numFmtId="175" fontId="8" fillId="36" borderId="61" xfId="70" applyNumberFormat="1" applyFont="1" applyFill="1" applyBorder="1" applyAlignment="1" applyProtection="1">
      <alignment vertical="center"/>
      <protection/>
    </xf>
    <xf numFmtId="175" fontId="0" fillId="36" borderId="53" xfId="70" applyNumberFormat="1" applyFont="1" applyFill="1" applyBorder="1" applyAlignment="1" applyProtection="1">
      <alignment vertical="center"/>
      <protection/>
    </xf>
    <xf numFmtId="175" fontId="8" fillId="36" borderId="53" xfId="70" applyNumberFormat="1" applyFont="1" applyFill="1" applyBorder="1" applyAlignment="1" applyProtection="1">
      <alignment vertical="center"/>
      <protection/>
    </xf>
    <xf numFmtId="175" fontId="0" fillId="36" borderId="59" xfId="70" applyNumberFormat="1" applyFont="1" applyFill="1" applyBorder="1" applyAlignment="1" applyProtection="1">
      <alignment vertical="center"/>
      <protection/>
    </xf>
    <xf numFmtId="175" fontId="0" fillId="36" borderId="49" xfId="70" applyNumberFormat="1" applyFont="1" applyFill="1" applyBorder="1" applyAlignment="1" applyProtection="1">
      <alignment vertical="center"/>
      <protection/>
    </xf>
    <xf numFmtId="175" fontId="8" fillId="36" borderId="68" xfId="70" applyNumberFormat="1" applyFont="1" applyFill="1" applyBorder="1" applyAlignment="1" applyProtection="1">
      <alignment vertical="center"/>
      <protection/>
    </xf>
    <xf numFmtId="175" fontId="8" fillId="45" borderId="52" xfId="70" applyNumberFormat="1" applyFont="1" applyFill="1" applyBorder="1" applyAlignment="1" applyProtection="1">
      <alignment vertical="center"/>
      <protection/>
    </xf>
    <xf numFmtId="175" fontId="8" fillId="45" borderId="38" xfId="70" applyNumberFormat="1" applyFont="1" applyFill="1" applyBorder="1" applyAlignment="1" applyProtection="1">
      <alignment vertical="center"/>
      <protection/>
    </xf>
    <xf numFmtId="2" fontId="0" fillId="0" borderId="15" xfId="0" applyNumberFormat="1" applyBorder="1" applyAlignment="1">
      <alignment/>
    </xf>
    <xf numFmtId="168" fontId="0" fillId="16" borderId="23" xfId="70" applyNumberFormat="1" applyFont="1" applyFill="1" applyBorder="1" applyAlignment="1">
      <alignment horizontal="center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172" fontId="23" fillId="34" borderId="10" xfId="56" applyNumberFormat="1" applyFont="1" applyFill="1" applyBorder="1" applyAlignment="1">
      <alignment vertical="center"/>
      <protection/>
    </xf>
    <xf numFmtId="0" fontId="8" fillId="16" borderId="0" xfId="0" applyFont="1" applyFill="1" applyBorder="1" applyAlignment="1">
      <alignment horizontal="center"/>
    </xf>
    <xf numFmtId="1" fontId="18" fillId="16" borderId="0" xfId="0" applyNumberFormat="1" applyFont="1" applyFill="1" applyBorder="1" applyAlignment="1">
      <alignment horizontal="center"/>
    </xf>
    <xf numFmtId="2" fontId="18" fillId="16" borderId="0" xfId="0" applyNumberFormat="1" applyFont="1" applyFill="1" applyBorder="1" applyAlignment="1">
      <alignment horizontal="centerContinuous"/>
    </xf>
    <xf numFmtId="2" fontId="18" fillId="16" borderId="0" xfId="0" applyNumberFormat="1" applyFont="1" applyFill="1" applyBorder="1" applyAlignment="1">
      <alignment horizontal="center"/>
    </xf>
    <xf numFmtId="0" fontId="18" fillId="16" borderId="0" xfId="0" applyFont="1" applyFill="1" applyBorder="1" applyAlignment="1">
      <alignment horizontal="centerContinuous"/>
    </xf>
    <xf numFmtId="0" fontId="0" fillId="16" borderId="0" xfId="0" applyFont="1" applyFill="1" applyBorder="1" applyAlignment="1">
      <alignment horizontal="left"/>
    </xf>
    <xf numFmtId="2" fontId="0" fillId="16" borderId="0" xfId="0" applyNumberFormat="1" applyFont="1" applyFill="1" applyBorder="1" applyAlignment="1">
      <alignment horizontal="center"/>
    </xf>
    <xf numFmtId="164" fontId="0" fillId="16" borderId="0" xfId="70" applyFont="1" applyFill="1" applyBorder="1" applyAlignment="1">
      <alignment/>
    </xf>
    <xf numFmtId="164" fontId="0" fillId="16" borderId="0" xfId="70" applyFont="1" applyFill="1" applyBorder="1" applyAlignment="1">
      <alignment horizontal="center"/>
    </xf>
    <xf numFmtId="164" fontId="0" fillId="16" borderId="0" xfId="70" applyFont="1" applyFill="1" applyBorder="1" applyAlignment="1">
      <alignment/>
    </xf>
    <xf numFmtId="2" fontId="8" fillId="16" borderId="0" xfId="0" applyNumberFormat="1" applyFont="1" applyFill="1" applyBorder="1" applyAlignment="1">
      <alignment horizontal="center"/>
    </xf>
    <xf numFmtId="168" fontId="0" fillId="16" borderId="16" xfId="70" applyNumberFormat="1" applyFont="1" applyFill="1" applyBorder="1" applyAlignment="1">
      <alignment horizontal="right"/>
    </xf>
    <xf numFmtId="0" fontId="120" fillId="10" borderId="27" xfId="0" applyFont="1" applyFill="1" applyBorder="1" applyAlignment="1">
      <alignment vertical="center" wrapText="1"/>
    </xf>
    <xf numFmtId="0" fontId="120" fillId="10" borderId="15" xfId="0" applyFont="1" applyFill="1" applyBorder="1" applyAlignment="1">
      <alignment horizontal="left" vertical="center" wrapText="1"/>
    </xf>
    <xf numFmtId="0" fontId="120" fillId="16" borderId="27" xfId="0" applyFont="1" applyFill="1" applyBorder="1" applyAlignment="1">
      <alignment vertical="center" wrapText="1"/>
    </xf>
    <xf numFmtId="0" fontId="120" fillId="10" borderId="18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129" fillId="13" borderId="30" xfId="0" applyFont="1" applyFill="1" applyBorder="1" applyAlignment="1">
      <alignment horizontal="center" vertical="center" wrapText="1"/>
    </xf>
    <xf numFmtId="0" fontId="129" fillId="13" borderId="31" xfId="0" applyFont="1" applyFill="1" applyBorder="1" applyAlignment="1">
      <alignment horizontal="center" vertical="center" wrapText="1"/>
    </xf>
    <xf numFmtId="0" fontId="129" fillId="13" borderId="10" xfId="0" applyFont="1" applyFill="1" applyBorder="1" applyAlignment="1">
      <alignment horizontal="center" vertical="center" wrapText="1"/>
    </xf>
    <xf numFmtId="164" fontId="129" fillId="13" borderId="31" xfId="70" applyFont="1" applyFill="1" applyBorder="1" applyAlignment="1">
      <alignment horizontal="center" vertical="center" wrapText="1"/>
    </xf>
    <xf numFmtId="0" fontId="129" fillId="13" borderId="34" xfId="0" applyFont="1" applyFill="1" applyBorder="1" applyAlignment="1">
      <alignment horizontal="center" vertical="center" wrapText="1"/>
    </xf>
    <xf numFmtId="164" fontId="129" fillId="13" borderId="25" xfId="70" applyNumberFormat="1" applyFont="1" applyFill="1" applyBorder="1" applyAlignment="1">
      <alignment horizontal="center" vertical="center" wrapText="1"/>
    </xf>
    <xf numFmtId="168" fontId="0" fillId="0" borderId="0" xfId="70" applyNumberFormat="1" applyFont="1" applyAlignment="1">
      <alignment/>
    </xf>
    <xf numFmtId="0" fontId="122" fillId="0" borderId="0" xfId="0" applyFont="1" applyAlignment="1">
      <alignment/>
    </xf>
    <xf numFmtId="168" fontId="12" fillId="16" borderId="16" xfId="70" applyNumberFormat="1" applyFont="1" applyFill="1" applyBorder="1" applyAlignment="1">
      <alignment horizontal="center"/>
    </xf>
    <xf numFmtId="168" fontId="12" fillId="16" borderId="0" xfId="70" applyNumberFormat="1" applyFont="1" applyFill="1" applyBorder="1" applyAlignment="1">
      <alignment/>
    </xf>
    <xf numFmtId="168" fontId="12" fillId="16" borderId="15" xfId="70" applyNumberFormat="1" applyFont="1" applyFill="1" applyBorder="1" applyAlignment="1">
      <alignment/>
    </xf>
    <xf numFmtId="168" fontId="12" fillId="16" borderId="17" xfId="70" applyNumberFormat="1" applyFont="1" applyFill="1" applyBorder="1" applyAlignment="1">
      <alignment horizontal="center"/>
    </xf>
    <xf numFmtId="168" fontId="12" fillId="16" borderId="19" xfId="70" applyNumberFormat="1" applyFont="1" applyFill="1" applyBorder="1" applyAlignment="1">
      <alignment/>
    </xf>
    <xf numFmtId="168" fontId="12" fillId="16" borderId="18" xfId="70" applyNumberFormat="1" applyFont="1" applyFill="1" applyBorder="1" applyAlignment="1">
      <alignment/>
    </xf>
    <xf numFmtId="168" fontId="12" fillId="16" borderId="19" xfId="70" applyNumberFormat="1" applyFont="1" applyFill="1" applyBorder="1" applyAlignment="1">
      <alignment horizontal="center"/>
    </xf>
    <xf numFmtId="168" fontId="12" fillId="16" borderId="38" xfId="70" applyNumberFormat="1" applyFont="1" applyFill="1" applyBorder="1" applyAlignment="1">
      <alignment horizontal="center"/>
    </xf>
    <xf numFmtId="168" fontId="12" fillId="16" borderId="25" xfId="70" applyNumberFormat="1" applyFont="1" applyFill="1" applyBorder="1" applyAlignment="1">
      <alignment/>
    </xf>
    <xf numFmtId="168" fontId="12" fillId="16" borderId="42" xfId="70" applyNumberFormat="1" applyFont="1" applyFill="1" applyBorder="1" applyAlignment="1">
      <alignment/>
    </xf>
    <xf numFmtId="168" fontId="12" fillId="16" borderId="25" xfId="70" applyNumberFormat="1" applyFont="1" applyFill="1" applyBorder="1" applyAlignment="1">
      <alignment horizontal="center"/>
    </xf>
    <xf numFmtId="168" fontId="12" fillId="16" borderId="36" xfId="70" applyNumberFormat="1" applyFont="1" applyFill="1" applyBorder="1" applyAlignment="1">
      <alignment/>
    </xf>
    <xf numFmtId="0" fontId="0" fillId="16" borderId="38" xfId="0" applyFont="1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0" xfId="0" applyFill="1" applyBorder="1" applyAlignment="1">
      <alignment horizontal="center"/>
    </xf>
    <xf numFmtId="168" fontId="12" fillId="16" borderId="0" xfId="7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/>
    </xf>
    <xf numFmtId="0" fontId="0" fillId="2" borderId="15" xfId="0" applyFill="1" applyBorder="1" applyAlignment="1">
      <alignment/>
    </xf>
    <xf numFmtId="0" fontId="30" fillId="16" borderId="0" xfId="0" applyFont="1" applyFill="1" applyBorder="1" applyAlignment="1">
      <alignment horizontal="center" vertical="center"/>
    </xf>
    <xf numFmtId="49" fontId="0" fillId="16" borderId="0" xfId="0" applyNumberFormat="1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/>
    </xf>
    <xf numFmtId="0" fontId="17" fillId="16" borderId="0" xfId="0" applyFont="1" applyFill="1" applyBorder="1" applyAlignment="1">
      <alignment horizontal="center"/>
    </xf>
    <xf numFmtId="0" fontId="17" fillId="16" borderId="15" xfId="0" applyFont="1" applyFill="1" applyBorder="1" applyAlignment="1">
      <alignment horizontal="center"/>
    </xf>
    <xf numFmtId="0" fontId="12" fillId="16" borderId="29" xfId="0" applyFont="1" applyFill="1" applyBorder="1" applyAlignment="1">
      <alignment horizontal="center"/>
    </xf>
    <xf numFmtId="0" fontId="130" fillId="16" borderId="31" xfId="0" applyFont="1" applyFill="1" applyBorder="1" applyAlignment="1">
      <alignment horizontal="center"/>
    </xf>
    <xf numFmtId="0" fontId="12" fillId="16" borderId="38" xfId="0" applyFont="1" applyFill="1" applyBorder="1" applyAlignment="1">
      <alignment horizontal="center"/>
    </xf>
    <xf numFmtId="17" fontId="12" fillId="16" borderId="25" xfId="0" applyNumberFormat="1" applyFont="1" applyFill="1" applyBorder="1" applyAlignment="1">
      <alignment horizontal="center"/>
    </xf>
    <xf numFmtId="17" fontId="12" fillId="16" borderId="30" xfId="0" applyNumberFormat="1" applyFont="1" applyFill="1" applyBorder="1" applyAlignment="1">
      <alignment horizontal="center"/>
    </xf>
    <xf numFmtId="0" fontId="12" fillId="16" borderId="25" xfId="0" applyFont="1" applyFill="1" applyBorder="1" applyAlignment="1">
      <alignment horizontal="center"/>
    </xf>
    <xf numFmtId="17" fontId="12" fillId="16" borderId="36" xfId="0" applyNumberFormat="1" applyFont="1" applyFill="1" applyBorder="1" applyAlignment="1">
      <alignment horizontal="center"/>
    </xf>
    <xf numFmtId="0" fontId="12" fillId="16" borderId="22" xfId="0" applyFont="1" applyFill="1" applyBorder="1" applyAlignment="1">
      <alignment/>
    </xf>
    <xf numFmtId="0" fontId="12" fillId="16" borderId="16" xfId="0" applyFont="1" applyFill="1" applyBorder="1" applyAlignment="1">
      <alignment horizontal="center"/>
    </xf>
    <xf numFmtId="0" fontId="12" fillId="16" borderId="15" xfId="0" applyFont="1" applyFill="1" applyBorder="1" applyAlignment="1">
      <alignment horizontal="center"/>
    </xf>
    <xf numFmtId="0" fontId="12" fillId="16" borderId="43" xfId="0" applyFont="1" applyFill="1" applyBorder="1" applyAlignment="1">
      <alignment horizontal="center"/>
    </xf>
    <xf numFmtId="0" fontId="12" fillId="16" borderId="34" xfId="0" applyFont="1" applyFill="1" applyBorder="1" applyAlignment="1">
      <alignment/>
    </xf>
    <xf numFmtId="0" fontId="12" fillId="16" borderId="22" xfId="0" applyFont="1" applyFill="1" applyBorder="1" applyAlignment="1">
      <alignment horizontal="center"/>
    </xf>
    <xf numFmtId="0" fontId="12" fillId="16" borderId="31" xfId="0" applyFont="1" applyFill="1" applyBorder="1" applyAlignment="1">
      <alignment/>
    </xf>
    <xf numFmtId="0" fontId="12" fillId="16" borderId="15" xfId="0" applyFont="1" applyFill="1" applyBorder="1" applyAlignment="1">
      <alignment/>
    </xf>
    <xf numFmtId="0" fontId="12" fillId="16" borderId="38" xfId="0" applyFont="1" applyFill="1" applyBorder="1" applyAlignment="1">
      <alignment/>
    </xf>
    <xf numFmtId="168" fontId="12" fillId="16" borderId="42" xfId="70" applyNumberFormat="1" applyFont="1" applyFill="1" applyBorder="1" applyAlignment="1">
      <alignment horizontal="center"/>
    </xf>
    <xf numFmtId="168" fontId="12" fillId="16" borderId="0" xfId="0" applyNumberFormat="1" applyFont="1" applyFill="1" applyAlignment="1">
      <alignment/>
    </xf>
    <xf numFmtId="168" fontId="12" fillId="16" borderId="17" xfId="0" applyNumberFormat="1" applyFont="1" applyFill="1" applyBorder="1" applyAlignment="1">
      <alignment/>
    </xf>
    <xf numFmtId="168" fontId="12" fillId="16" borderId="19" xfId="0" applyNumberFormat="1" applyFont="1" applyFill="1" applyBorder="1" applyAlignment="1">
      <alignment/>
    </xf>
    <xf numFmtId="168" fontId="12" fillId="16" borderId="18" xfId="0" applyNumberFormat="1" applyFont="1" applyFill="1" applyBorder="1" applyAlignment="1">
      <alignment/>
    </xf>
    <xf numFmtId="166" fontId="0" fillId="16" borderId="18" xfId="70" applyNumberFormat="1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168" fontId="0" fillId="16" borderId="20" xfId="70" applyNumberFormat="1" applyFont="1" applyFill="1" applyBorder="1" applyAlignment="1">
      <alignment horizontal="right"/>
    </xf>
    <xf numFmtId="168" fontId="0" fillId="0" borderId="0" xfId="70" applyNumberFormat="1" applyFont="1" applyFill="1" applyBorder="1" applyAlignment="1">
      <alignment/>
    </xf>
    <xf numFmtId="0" fontId="8" fillId="16" borderId="22" xfId="54" applyFont="1" applyFill="1" applyBorder="1" applyAlignment="1">
      <alignment horizontal="center" vertical="center"/>
      <protection/>
    </xf>
    <xf numFmtId="0" fontId="25" fillId="16" borderId="22" xfId="44" applyFont="1" applyFill="1" applyBorder="1" applyAlignment="1" applyProtection="1">
      <alignment horizontal="center" vertical="center"/>
      <protection/>
    </xf>
    <xf numFmtId="0" fontId="0" fillId="16" borderId="22" xfId="0" applyFill="1" applyBorder="1" applyAlignment="1">
      <alignment/>
    </xf>
    <xf numFmtId="0" fontId="12" fillId="16" borderId="0" xfId="53" applyFont="1" applyFill="1" applyBorder="1">
      <alignment/>
      <protection/>
    </xf>
    <xf numFmtId="164" fontId="15" fillId="36" borderId="13" xfId="70" applyFont="1" applyFill="1" applyBorder="1" applyAlignment="1">
      <alignment/>
    </xf>
    <xf numFmtId="164" fontId="131" fillId="36" borderId="22" xfId="70" applyFont="1" applyFill="1" applyBorder="1" applyAlignment="1">
      <alignment/>
    </xf>
    <xf numFmtId="164" fontId="15" fillId="36" borderId="22" xfId="70" applyFont="1" applyFill="1" applyBorder="1" applyAlignment="1">
      <alignment/>
    </xf>
    <xf numFmtId="164" fontId="131" fillId="36" borderId="23" xfId="70" applyFont="1" applyFill="1" applyBorder="1" applyAlignment="1">
      <alignment/>
    </xf>
    <xf numFmtId="170" fontId="0" fillId="0" borderId="10" xfId="70" applyNumberFormat="1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7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168" fontId="0" fillId="0" borderId="19" xfId="70" applyNumberFormat="1" applyFon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168" fontId="0" fillId="0" borderId="0" xfId="70" applyNumberFormat="1" applyFont="1" applyAlignment="1">
      <alignment horizontal="center"/>
    </xf>
    <xf numFmtId="168" fontId="0" fillId="0" borderId="19" xfId="7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8" fontId="0" fillId="0" borderId="0" xfId="70" applyNumberFormat="1" applyFont="1" applyFill="1" applyBorder="1" applyAlignment="1">
      <alignment horizontal="center"/>
    </xf>
    <xf numFmtId="3" fontId="132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168" fontId="12" fillId="16" borderId="0" xfId="0" applyNumberFormat="1" applyFont="1" applyFill="1" applyBorder="1" applyAlignment="1">
      <alignment/>
    </xf>
    <xf numFmtId="168" fontId="12" fillId="16" borderId="15" xfId="70" applyNumberFormat="1" applyFont="1" applyFill="1" applyBorder="1" applyAlignment="1">
      <alignment horizontal="right"/>
    </xf>
    <xf numFmtId="168" fontId="0" fillId="0" borderId="69" xfId="7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8" fontId="0" fillId="36" borderId="22" xfId="70" applyNumberFormat="1" applyFont="1" applyFill="1" applyBorder="1" applyAlignment="1">
      <alignment/>
    </xf>
    <xf numFmtId="168" fontId="13" fillId="36" borderId="22" xfId="70" applyNumberFormat="1" applyFont="1" applyFill="1" applyBorder="1" applyAlignment="1">
      <alignment/>
    </xf>
    <xf numFmtId="49" fontId="22" fillId="36" borderId="0" xfId="56" applyNumberFormat="1" applyFont="1" applyFill="1" applyBorder="1" applyAlignment="1">
      <alignment horizontal="left" vertical="center" indent="1"/>
      <protection/>
    </xf>
    <xf numFmtId="49" fontId="22" fillId="36" borderId="20" xfId="56" applyNumberFormat="1" applyFont="1" applyFill="1" applyBorder="1" applyAlignment="1">
      <alignment horizontal="left" vertical="center" indent="1"/>
      <protection/>
    </xf>
    <xf numFmtId="171" fontId="22" fillId="36" borderId="20" xfId="58" applyNumberFormat="1" applyFont="1" applyFill="1" applyBorder="1" applyAlignment="1">
      <alignment horizontal="right" vertical="center"/>
    </xf>
    <xf numFmtId="171" fontId="22" fillId="36" borderId="13" xfId="58" applyNumberFormat="1" applyFont="1" applyFill="1" applyBorder="1" applyAlignment="1">
      <alignment horizontal="right" vertical="center"/>
    </xf>
    <xf numFmtId="165" fontId="0" fillId="36" borderId="0" xfId="0" applyNumberFormat="1" applyFill="1" applyBorder="1" applyAlignment="1">
      <alignment/>
    </xf>
    <xf numFmtId="49" fontId="22" fillId="36" borderId="15" xfId="56" applyNumberFormat="1" applyFont="1" applyFill="1" applyBorder="1" applyAlignment="1">
      <alignment horizontal="left" vertical="center" indent="1"/>
      <protection/>
    </xf>
    <xf numFmtId="171" fontId="22" fillId="36" borderId="15" xfId="58" applyNumberFormat="1" applyFont="1" applyFill="1" applyBorder="1" applyAlignment="1">
      <alignment horizontal="right" vertical="center"/>
    </xf>
    <xf numFmtId="171" fontId="22" fillId="36" borderId="22" xfId="58" applyNumberFormat="1" applyFont="1" applyFill="1" applyBorder="1" applyAlignment="1">
      <alignment horizontal="right" vertical="center"/>
    </xf>
    <xf numFmtId="49" fontId="22" fillId="36" borderId="19" xfId="56" applyNumberFormat="1" applyFont="1" applyFill="1" applyBorder="1" applyAlignment="1">
      <alignment horizontal="left" vertical="center" indent="1"/>
      <protection/>
    </xf>
    <xf numFmtId="49" fontId="22" fillId="36" borderId="18" xfId="56" applyNumberFormat="1" applyFont="1" applyFill="1" applyBorder="1" applyAlignment="1">
      <alignment horizontal="left" vertical="center" indent="1"/>
      <protection/>
    </xf>
    <xf numFmtId="171" fontId="22" fillId="36" borderId="18" xfId="58" applyNumberFormat="1" applyFont="1" applyFill="1" applyBorder="1" applyAlignment="1">
      <alignment horizontal="right" vertical="center"/>
    </xf>
    <xf numFmtId="171" fontId="22" fillId="36" borderId="23" xfId="58" applyNumberFormat="1" applyFont="1" applyFill="1" applyBorder="1" applyAlignment="1">
      <alignment horizontal="right" vertical="center"/>
    </xf>
    <xf numFmtId="165" fontId="0" fillId="36" borderId="19" xfId="0" applyNumberFormat="1" applyFill="1" applyBorder="1" applyAlignment="1">
      <alignment/>
    </xf>
    <xf numFmtId="49" fontId="23" fillId="36" borderId="0" xfId="56" applyNumberFormat="1" applyFont="1" applyFill="1" applyBorder="1" applyAlignment="1">
      <alignment horizontal="left" vertical="center" indent="1"/>
      <protection/>
    </xf>
    <xf numFmtId="49" fontId="23" fillId="36" borderId="15" xfId="56" applyNumberFormat="1" applyFont="1" applyFill="1" applyBorder="1" applyAlignment="1">
      <alignment horizontal="left" vertical="center" indent="1"/>
      <protection/>
    </xf>
    <xf numFmtId="168" fontId="18" fillId="36" borderId="22" xfId="70" applyNumberFormat="1" applyFont="1" applyFill="1" applyBorder="1" applyAlignment="1">
      <alignment/>
    </xf>
    <xf numFmtId="171" fontId="23" fillId="36" borderId="15" xfId="58" applyNumberFormat="1" applyFont="1" applyFill="1" applyBorder="1" applyAlignment="1">
      <alignment horizontal="right" vertical="center"/>
    </xf>
    <xf numFmtId="171" fontId="23" fillId="36" borderId="22" xfId="58" applyNumberFormat="1" applyFont="1" applyFill="1" applyBorder="1" applyAlignment="1">
      <alignment horizontal="right" vertical="center"/>
    </xf>
    <xf numFmtId="49" fontId="23" fillId="36" borderId="15" xfId="56" applyNumberFormat="1" applyFont="1" applyFill="1" applyBorder="1" applyAlignment="1">
      <alignment vertical="center"/>
      <protection/>
    </xf>
    <xf numFmtId="168" fontId="18" fillId="36" borderId="22" xfId="70" applyNumberFormat="1" applyFont="1" applyFill="1" applyBorder="1" applyAlignment="1">
      <alignment horizontal="right" vertical="center"/>
    </xf>
    <xf numFmtId="49" fontId="23" fillId="36" borderId="19" xfId="56" applyNumberFormat="1" applyFont="1" applyFill="1" applyBorder="1" applyAlignment="1">
      <alignment horizontal="left" vertical="center" indent="1"/>
      <protection/>
    </xf>
    <xf numFmtId="49" fontId="23" fillId="36" borderId="18" xfId="56" applyNumberFormat="1" applyFont="1" applyFill="1" applyBorder="1" applyAlignment="1">
      <alignment vertical="center"/>
      <protection/>
    </xf>
    <xf numFmtId="168" fontId="18" fillId="36" borderId="23" xfId="70" applyNumberFormat="1" applyFont="1" applyFill="1" applyBorder="1" applyAlignment="1">
      <alignment/>
    </xf>
    <xf numFmtId="168" fontId="18" fillId="36" borderId="18" xfId="70" applyNumberFormat="1" applyFont="1" applyFill="1" applyBorder="1" applyAlignment="1">
      <alignment/>
    </xf>
    <xf numFmtId="172" fontId="13" fillId="36" borderId="23" xfId="56" applyNumberFormat="1" applyFont="1" applyFill="1" applyBorder="1" applyAlignment="1">
      <alignment horizontal="right" vertical="center"/>
      <protection/>
    </xf>
    <xf numFmtId="168" fontId="13" fillId="36" borderId="13" xfId="70" applyNumberFormat="1" applyFont="1" applyFill="1" applyBorder="1" applyAlignment="1">
      <alignment/>
    </xf>
    <xf numFmtId="168" fontId="22" fillId="36" borderId="13" xfId="70" applyNumberFormat="1" applyFont="1" applyFill="1" applyBorder="1" applyAlignment="1">
      <alignment/>
    </xf>
    <xf numFmtId="168" fontId="22" fillId="36" borderId="22" xfId="70" applyNumberFormat="1" applyFont="1" applyFill="1" applyBorder="1" applyAlignment="1">
      <alignment/>
    </xf>
    <xf numFmtId="168" fontId="13" fillId="36" borderId="23" xfId="70" applyNumberFormat="1" applyFont="1" applyFill="1" applyBorder="1" applyAlignment="1">
      <alignment/>
    </xf>
    <xf numFmtId="168" fontId="22" fillId="36" borderId="23" xfId="70" applyNumberFormat="1" applyFont="1" applyFill="1" applyBorder="1" applyAlignment="1">
      <alignment/>
    </xf>
    <xf numFmtId="168" fontId="23" fillId="36" borderId="22" xfId="70" applyNumberFormat="1" applyFont="1" applyFill="1" applyBorder="1" applyAlignment="1">
      <alignment horizontal="right" vertical="center"/>
    </xf>
    <xf numFmtId="49" fontId="23" fillId="36" borderId="18" xfId="56" applyNumberFormat="1" applyFont="1" applyFill="1" applyBorder="1" applyAlignment="1">
      <alignment horizontal="left" vertical="center" indent="1"/>
      <protection/>
    </xf>
    <xf numFmtId="168" fontId="18" fillId="36" borderId="23" xfId="70" applyNumberFormat="1" applyFont="1" applyFill="1" applyBorder="1" applyAlignment="1">
      <alignment horizontal="right" vertical="center"/>
    </xf>
    <xf numFmtId="171" fontId="23" fillId="36" borderId="18" xfId="58" applyNumberFormat="1" applyFont="1" applyFill="1" applyBorder="1" applyAlignment="1">
      <alignment horizontal="right" vertical="center"/>
    </xf>
    <xf numFmtId="168" fontId="23" fillId="36" borderId="23" xfId="70" applyNumberFormat="1" applyFont="1" applyFill="1" applyBorder="1" applyAlignment="1">
      <alignment horizontal="right" vertical="center"/>
    </xf>
    <xf numFmtId="0" fontId="59" fillId="10" borderId="13" xfId="0" applyFont="1" applyFill="1" applyBorder="1" applyAlignment="1">
      <alignment horizontal="center"/>
    </xf>
    <xf numFmtId="0" fontId="59" fillId="10" borderId="22" xfId="0" applyFont="1" applyFill="1" applyBorder="1" applyAlignment="1">
      <alignment horizontal="justify"/>
    </xf>
    <xf numFmtId="0" fontId="58" fillId="10" borderId="22" xfId="0" applyFont="1" applyFill="1" applyBorder="1" applyAlignment="1">
      <alignment horizontal="justify"/>
    </xf>
    <xf numFmtId="0" fontId="0" fillId="10" borderId="23" xfId="0" applyFill="1" applyBorder="1" applyAlignment="1">
      <alignment/>
    </xf>
    <xf numFmtId="0" fontId="0" fillId="36" borderId="0" xfId="0" applyFill="1" applyAlignment="1">
      <alignment/>
    </xf>
    <xf numFmtId="164" fontId="0" fillId="16" borderId="22" xfId="70" applyNumberFormat="1" applyFont="1" applyFill="1" applyBorder="1" applyAlignment="1">
      <alignment vertical="center"/>
    </xf>
    <xf numFmtId="0" fontId="133" fillId="16" borderId="15" xfId="0" applyFont="1" applyFill="1" applyBorder="1" applyAlignment="1">
      <alignment vertical="center" wrapText="1"/>
    </xf>
    <xf numFmtId="0" fontId="133" fillId="10" borderId="15" xfId="0" applyFont="1" applyFill="1" applyBorder="1" applyAlignment="1">
      <alignment vertical="center" wrapText="1"/>
    </xf>
    <xf numFmtId="0" fontId="133" fillId="10" borderId="18" xfId="0" applyFont="1" applyFill="1" applyBorder="1" applyAlignment="1">
      <alignment vertical="center" wrapText="1"/>
    </xf>
    <xf numFmtId="164" fontId="0" fillId="10" borderId="23" xfId="70" applyNumberFormat="1" applyFont="1" applyFill="1" applyBorder="1" applyAlignment="1" applyProtection="1">
      <alignment vertical="center"/>
      <protection/>
    </xf>
    <xf numFmtId="0" fontId="0" fillId="10" borderId="39" xfId="0" applyFont="1" applyFill="1" applyBorder="1" applyAlignment="1">
      <alignment vertical="center" wrapText="1"/>
    </xf>
    <xf numFmtId="164" fontId="0" fillId="10" borderId="29" xfId="70" applyNumberFormat="1" applyFont="1" applyFill="1" applyBorder="1" applyAlignment="1" applyProtection="1">
      <alignment vertical="center"/>
      <protection/>
    </xf>
    <xf numFmtId="168" fontId="0" fillId="10" borderId="29" xfId="70" applyNumberFormat="1" applyFont="1" applyFill="1" applyBorder="1" applyAlignment="1">
      <alignment/>
    </xf>
    <xf numFmtId="168" fontId="0" fillId="10" borderId="39" xfId="70" applyNumberFormat="1" applyFont="1" applyFill="1" applyBorder="1" applyAlignment="1">
      <alignment/>
    </xf>
    <xf numFmtId="164" fontId="0" fillId="10" borderId="29" xfId="70" applyNumberFormat="1" applyFont="1" applyFill="1" applyBorder="1" applyAlignment="1">
      <alignment/>
    </xf>
    <xf numFmtId="166" fontId="0" fillId="10" borderId="43" xfId="70" applyNumberFormat="1" applyFont="1" applyFill="1" applyBorder="1" applyAlignment="1">
      <alignment horizontal="center" vertical="center"/>
    </xf>
    <xf numFmtId="0" fontId="133" fillId="10" borderId="15" xfId="0" applyFont="1" applyFill="1" applyBorder="1" applyAlignment="1">
      <alignment horizontal="left" vertical="center" wrapText="1"/>
    </xf>
    <xf numFmtId="0" fontId="133" fillId="10" borderId="12" xfId="0" applyFont="1" applyFill="1" applyBorder="1" applyAlignment="1">
      <alignment horizontal="left" vertical="center" wrapText="1"/>
    </xf>
    <xf numFmtId="0" fontId="133" fillId="16" borderId="27" xfId="0" applyFont="1" applyFill="1" applyBorder="1" applyAlignment="1">
      <alignment vertical="center" wrapText="1"/>
    </xf>
    <xf numFmtId="164" fontId="8" fillId="16" borderId="31" xfId="70" applyFont="1" applyFill="1" applyBorder="1" applyAlignment="1">
      <alignment/>
    </xf>
    <xf numFmtId="164" fontId="8" fillId="16" borderId="38" xfId="70" applyFont="1" applyFill="1" applyBorder="1" applyAlignment="1">
      <alignment/>
    </xf>
    <xf numFmtId="0" fontId="133" fillId="16" borderId="18" xfId="0" applyFont="1" applyFill="1" applyBorder="1" applyAlignment="1">
      <alignment vertical="center" wrapText="1"/>
    </xf>
    <xf numFmtId="164" fontId="0" fillId="16" borderId="18" xfId="70" applyNumberFormat="1" applyFont="1" applyFill="1" applyBorder="1" applyAlignment="1" applyProtection="1">
      <alignment vertical="center"/>
      <protection/>
    </xf>
    <xf numFmtId="0" fontId="0" fillId="10" borderId="22" xfId="0" applyFont="1" applyFill="1" applyBorder="1" applyAlignment="1">
      <alignment horizontal="center" vertical="center"/>
    </xf>
    <xf numFmtId="0" fontId="134" fillId="16" borderId="27" xfId="0" applyFont="1" applyFill="1" applyBorder="1" applyAlignment="1">
      <alignment horizontal="left" vertical="center" wrapText="1"/>
    </xf>
    <xf numFmtId="168" fontId="12" fillId="16" borderId="0" xfId="70" applyNumberFormat="1" applyFont="1" applyFill="1" applyBorder="1" applyAlignment="1">
      <alignment horizontal="right"/>
    </xf>
    <xf numFmtId="0" fontId="12" fillId="16" borderId="23" xfId="0" applyFont="1" applyFill="1" applyBorder="1" applyAlignment="1">
      <alignment/>
    </xf>
    <xf numFmtId="179" fontId="13" fillId="33" borderId="0" xfId="70" applyNumberFormat="1" applyFont="1" applyFill="1" applyAlignment="1">
      <alignment/>
    </xf>
    <xf numFmtId="168" fontId="0" fillId="0" borderId="28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34" xfId="0" applyNumberFormat="1" applyBorder="1" applyAlignment="1">
      <alignment/>
    </xf>
    <xf numFmtId="0" fontId="5" fillId="12" borderId="15" xfId="0" applyFont="1" applyFill="1" applyBorder="1" applyAlignment="1">
      <alignment horizontal="center" vertical="center" wrapText="1"/>
    </xf>
    <xf numFmtId="180" fontId="66" fillId="36" borderId="70" xfId="0" applyNumberFormat="1" applyFont="1" applyFill="1" applyBorder="1" applyAlignment="1">
      <alignment/>
    </xf>
    <xf numFmtId="165" fontId="13" fillId="36" borderId="0" xfId="0" applyNumberFormat="1" applyFont="1" applyFill="1" applyBorder="1" applyAlignment="1">
      <alignment/>
    </xf>
    <xf numFmtId="165" fontId="13" fillId="36" borderId="19" xfId="0" applyNumberFormat="1" applyFont="1" applyFill="1" applyBorder="1" applyAlignment="1">
      <alignment/>
    </xf>
    <xf numFmtId="165" fontId="18" fillId="36" borderId="0" xfId="0" applyNumberFormat="1" applyFont="1" applyFill="1" applyBorder="1" applyAlignment="1">
      <alignment/>
    </xf>
    <xf numFmtId="165" fontId="13" fillId="36" borderId="17" xfId="0" applyNumberFormat="1" applyFont="1" applyFill="1" applyBorder="1" applyAlignment="1">
      <alignment/>
    </xf>
    <xf numFmtId="165" fontId="18" fillId="19" borderId="11" xfId="0" applyNumberFormat="1" applyFont="1" applyFill="1" applyBorder="1" applyAlignment="1">
      <alignment/>
    </xf>
    <xf numFmtId="168" fontId="18" fillId="36" borderId="15" xfId="70" applyNumberFormat="1" applyFont="1" applyFill="1" applyBorder="1" applyAlignment="1">
      <alignment/>
    </xf>
    <xf numFmtId="168" fontId="18" fillId="36" borderId="15" xfId="70" applyNumberFormat="1" applyFont="1" applyFill="1" applyBorder="1" applyAlignment="1">
      <alignment horizontal="right" vertical="center"/>
    </xf>
    <xf numFmtId="171" fontId="23" fillId="36" borderId="20" xfId="58" applyNumberFormat="1" applyFont="1" applyFill="1" applyBorder="1" applyAlignment="1">
      <alignment horizontal="right" vertical="center"/>
    </xf>
    <xf numFmtId="180" fontId="66" fillId="36" borderId="71" xfId="0" applyNumberFormat="1" applyFont="1" applyFill="1" applyBorder="1" applyAlignment="1">
      <alignment/>
    </xf>
    <xf numFmtId="180" fontId="66" fillId="36" borderId="72" xfId="0" applyNumberFormat="1" applyFont="1" applyFill="1" applyBorder="1" applyAlignment="1">
      <alignment/>
    </xf>
    <xf numFmtId="3" fontId="13" fillId="36" borderId="0" xfId="0" applyNumberFormat="1" applyFont="1" applyFill="1" applyAlignment="1">
      <alignment/>
    </xf>
    <xf numFmtId="180" fontId="66" fillId="36" borderId="73" xfId="0" applyNumberFormat="1" applyFont="1" applyFill="1" applyBorder="1" applyAlignment="1">
      <alignment/>
    </xf>
    <xf numFmtId="3" fontId="13" fillId="36" borderId="18" xfId="0" applyNumberFormat="1" applyFont="1" applyFill="1" applyBorder="1" applyAlignment="1">
      <alignment/>
    </xf>
    <xf numFmtId="180" fontId="18" fillId="19" borderId="74" xfId="0" applyNumberFormat="1" applyFont="1" applyFill="1" applyBorder="1" applyAlignment="1">
      <alignment/>
    </xf>
    <xf numFmtId="171" fontId="18" fillId="19" borderId="10" xfId="58" applyNumberFormat="1" applyFont="1" applyFill="1" applyBorder="1" applyAlignment="1">
      <alignment horizontal="right" vertical="center"/>
    </xf>
    <xf numFmtId="3" fontId="18" fillId="19" borderId="12" xfId="0" applyNumberFormat="1" applyFont="1" applyFill="1" applyBorder="1" applyAlignment="1">
      <alignment/>
    </xf>
    <xf numFmtId="0" fontId="5" fillId="0" borderId="39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30" xfId="0" applyFont="1" applyBorder="1" applyAlignment="1">
      <alignment horizontal="left" vertical="center"/>
    </xf>
    <xf numFmtId="1" fontId="5" fillId="0" borderId="0" xfId="70" applyNumberFormat="1" applyFont="1" applyAlignment="1">
      <alignment/>
    </xf>
    <xf numFmtId="168" fontId="7" fillId="12" borderId="32" xfId="70" applyNumberFormat="1" applyFont="1" applyFill="1" applyBorder="1" applyAlignment="1">
      <alignment/>
    </xf>
    <xf numFmtId="0" fontId="135" fillId="10" borderId="22" xfId="0" applyFont="1" applyFill="1" applyBorder="1" applyAlignment="1">
      <alignment horizontal="justify"/>
    </xf>
    <xf numFmtId="0" fontId="135" fillId="10" borderId="22" xfId="0" applyFont="1" applyFill="1" applyBorder="1" applyAlignment="1">
      <alignment/>
    </xf>
    <xf numFmtId="0" fontId="136" fillId="10" borderId="22" xfId="0" applyFont="1" applyFill="1" applyBorder="1" applyAlignment="1">
      <alignment horizontal="justify"/>
    </xf>
    <xf numFmtId="0" fontId="39" fillId="46" borderId="22" xfId="0" applyFont="1" applyFill="1" applyBorder="1" applyAlignment="1">
      <alignment horizontal="center" vertical="center"/>
    </xf>
    <xf numFmtId="0" fontId="137" fillId="37" borderId="0" xfId="0" applyFont="1" applyFill="1" applyBorder="1" applyAlignment="1">
      <alignment horizontal="center"/>
    </xf>
    <xf numFmtId="0" fontId="17" fillId="16" borderId="16" xfId="0" applyFont="1" applyFill="1" applyBorder="1" applyAlignment="1">
      <alignment horizontal="center"/>
    </xf>
    <xf numFmtId="0" fontId="17" fillId="16" borderId="0" xfId="0" applyFont="1" applyFill="1" applyBorder="1" applyAlignment="1">
      <alignment horizontal="center"/>
    </xf>
    <xf numFmtId="0" fontId="17" fillId="16" borderId="15" xfId="0" applyFont="1" applyFill="1" applyBorder="1" applyAlignment="1">
      <alignment horizontal="center"/>
    </xf>
    <xf numFmtId="0" fontId="5" fillId="16" borderId="25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 vertical="center" wrapText="1"/>
    </xf>
    <xf numFmtId="0" fontId="137" fillId="37" borderId="0" xfId="0" applyFont="1" applyFill="1" applyAlignment="1">
      <alignment horizontal="center"/>
    </xf>
    <xf numFmtId="0" fontId="0" fillId="12" borderId="41" xfId="0" applyFont="1" applyFill="1" applyBorder="1" applyAlignment="1">
      <alignment horizontal="center"/>
    </xf>
    <xf numFmtId="0" fontId="0" fillId="12" borderId="32" xfId="0" applyFont="1" applyFill="1" applyBorder="1" applyAlignment="1">
      <alignment horizontal="center"/>
    </xf>
    <xf numFmtId="0" fontId="0" fillId="12" borderId="51" xfId="0" applyFont="1" applyFill="1" applyBorder="1" applyAlignment="1">
      <alignment horizontal="center"/>
    </xf>
    <xf numFmtId="0" fontId="0" fillId="12" borderId="37" xfId="0" applyFont="1" applyFill="1" applyBorder="1" applyAlignment="1">
      <alignment horizontal="center"/>
    </xf>
    <xf numFmtId="0" fontId="0" fillId="12" borderId="27" xfId="0" applyFont="1" applyFill="1" applyBorder="1" applyAlignment="1">
      <alignment horizontal="center"/>
    </xf>
    <xf numFmtId="0" fontId="0" fillId="12" borderId="43" xfId="0" applyFont="1" applyFill="1" applyBorder="1" applyAlignment="1">
      <alignment horizontal="center" vertical="center"/>
    </xf>
    <xf numFmtId="0" fontId="0" fillId="12" borderId="25" xfId="0" applyFont="1" applyFill="1" applyBorder="1" applyAlignment="1" quotePrefix="1">
      <alignment horizontal="center" vertical="center"/>
    </xf>
    <xf numFmtId="2" fontId="5" fillId="12" borderId="0" xfId="0" applyNumberFormat="1" applyFont="1" applyFill="1" applyBorder="1" applyAlignment="1">
      <alignment horizontal="center" vertical="center"/>
    </xf>
    <xf numFmtId="2" fontId="5" fillId="12" borderId="19" xfId="0" applyNumberFormat="1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/>
    </xf>
    <xf numFmtId="0" fontId="3" fillId="16" borderId="21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24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2" fontId="7" fillId="12" borderId="16" xfId="0" applyNumberFormat="1" applyFont="1" applyFill="1" applyBorder="1" applyAlignment="1">
      <alignment horizontal="left" vertical="top" wrapText="1"/>
    </xf>
    <xf numFmtId="2" fontId="7" fillId="12" borderId="0" xfId="0" applyNumberFormat="1" applyFont="1" applyFill="1" applyBorder="1" applyAlignment="1">
      <alignment horizontal="left" vertical="top" wrapText="1"/>
    </xf>
    <xf numFmtId="2" fontId="7" fillId="12" borderId="15" xfId="0" applyNumberFormat="1" applyFont="1" applyFill="1" applyBorder="1" applyAlignment="1">
      <alignment horizontal="left" vertical="top" wrapText="1"/>
    </xf>
    <xf numFmtId="2" fontId="7" fillId="12" borderId="17" xfId="0" applyNumberFormat="1" applyFont="1" applyFill="1" applyBorder="1" applyAlignment="1">
      <alignment horizontal="left" vertical="top" wrapText="1"/>
    </xf>
    <xf numFmtId="2" fontId="7" fillId="12" borderId="19" xfId="0" applyNumberFormat="1" applyFont="1" applyFill="1" applyBorder="1" applyAlignment="1">
      <alignment horizontal="left" vertical="top" wrapText="1"/>
    </xf>
    <xf numFmtId="2" fontId="7" fillId="12" borderId="18" xfId="0" applyNumberFormat="1" applyFont="1" applyFill="1" applyBorder="1" applyAlignment="1">
      <alignment horizontal="left" vertical="top" wrapText="1"/>
    </xf>
    <xf numFmtId="0" fontId="5" fillId="12" borderId="16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34" borderId="20" xfId="53" applyFont="1" applyFill="1" applyBorder="1" applyAlignment="1">
      <alignment horizontal="center" vertical="center"/>
      <protection/>
    </xf>
    <xf numFmtId="0" fontId="8" fillId="34" borderId="18" xfId="53" applyFont="1" applyFill="1" applyBorder="1" applyAlignment="1">
      <alignment horizontal="center" vertical="center"/>
      <protection/>
    </xf>
    <xf numFmtId="0" fontId="8" fillId="34" borderId="11" xfId="53" applyFont="1" applyFill="1" applyBorder="1" applyAlignment="1">
      <alignment horizontal="center" vertical="center"/>
      <protection/>
    </xf>
    <xf numFmtId="0" fontId="8" fillId="34" borderId="24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 vertical="center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8" fillId="34" borderId="17" xfId="53" applyFont="1" applyFill="1" applyBorder="1" applyAlignment="1">
      <alignment horizontal="center" vertical="center" wrapText="1"/>
      <protection/>
    </xf>
    <xf numFmtId="0" fontId="3" fillId="16" borderId="0" xfId="53" applyFont="1" applyFill="1" applyBorder="1" applyAlignment="1">
      <alignment horizontal="center"/>
      <protection/>
    </xf>
    <xf numFmtId="0" fontId="8" fillId="16" borderId="19" xfId="53" applyFont="1" applyFill="1" applyBorder="1" applyAlignment="1">
      <alignment horizontal="center"/>
      <protection/>
    </xf>
    <xf numFmtId="0" fontId="4" fillId="16" borderId="0" xfId="0" applyFont="1" applyFill="1" applyBorder="1" applyAlignment="1">
      <alignment horizontal="center"/>
    </xf>
    <xf numFmtId="17" fontId="4" fillId="16" borderId="0" xfId="0" applyNumberFormat="1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0" fontId="14" fillId="16" borderId="11" xfId="0" applyFont="1" applyFill="1" applyBorder="1" applyAlignment="1">
      <alignment horizontal="left"/>
    </xf>
    <xf numFmtId="0" fontId="14" fillId="16" borderId="24" xfId="0" applyFont="1" applyFill="1" applyBorder="1" applyAlignment="1">
      <alignment horizontal="left"/>
    </xf>
    <xf numFmtId="0" fontId="14" fillId="16" borderId="11" xfId="0" applyFont="1" applyFill="1" applyBorder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/>
    </xf>
    <xf numFmtId="0" fontId="14" fillId="16" borderId="22" xfId="0" applyFont="1" applyFill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/>
    </xf>
    <xf numFmtId="2" fontId="18" fillId="16" borderId="0" xfId="0" applyNumberFormat="1" applyFont="1" applyFill="1" applyBorder="1" applyAlignment="1">
      <alignment horizontal="center"/>
    </xf>
    <xf numFmtId="0" fontId="3" fillId="16" borderId="0" xfId="0" applyFont="1" applyFill="1" applyAlignment="1">
      <alignment horizontal="center"/>
    </xf>
    <xf numFmtId="0" fontId="18" fillId="16" borderId="0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/>
    </xf>
    <xf numFmtId="2" fontId="18" fillId="19" borderId="16" xfId="0" applyNumberFormat="1" applyFont="1" applyFill="1" applyBorder="1" applyAlignment="1">
      <alignment horizontal="center"/>
    </xf>
    <xf numFmtId="2" fontId="18" fillId="19" borderId="0" xfId="0" applyNumberFormat="1" applyFont="1" applyFill="1" applyBorder="1" applyAlignment="1">
      <alignment horizontal="center"/>
    </xf>
    <xf numFmtId="2" fontId="18" fillId="19" borderId="15" xfId="0" applyNumberFormat="1" applyFont="1" applyFill="1" applyBorder="1" applyAlignment="1">
      <alignment horizontal="center"/>
    </xf>
    <xf numFmtId="2" fontId="18" fillId="19" borderId="17" xfId="0" applyNumberFormat="1" applyFont="1" applyFill="1" applyBorder="1" applyAlignment="1">
      <alignment horizontal="center"/>
    </xf>
    <xf numFmtId="2" fontId="18" fillId="19" borderId="19" xfId="0" applyNumberFormat="1" applyFont="1" applyFill="1" applyBorder="1" applyAlignment="1">
      <alignment horizontal="center"/>
    </xf>
    <xf numFmtId="2" fontId="18" fillId="19" borderId="18" xfId="0" applyNumberFormat="1" applyFont="1" applyFill="1" applyBorder="1" applyAlignment="1">
      <alignment horizontal="center"/>
    </xf>
    <xf numFmtId="0" fontId="18" fillId="19" borderId="17" xfId="0" applyFont="1" applyFill="1" applyBorder="1" applyAlignment="1">
      <alignment horizontal="center"/>
    </xf>
    <xf numFmtId="0" fontId="18" fillId="19" borderId="19" xfId="0" applyFont="1" applyFill="1" applyBorder="1" applyAlignment="1">
      <alignment horizontal="center"/>
    </xf>
    <xf numFmtId="0" fontId="18" fillId="19" borderId="18" xfId="0" applyFont="1" applyFill="1" applyBorder="1" applyAlignment="1">
      <alignment horizontal="center"/>
    </xf>
    <xf numFmtId="0" fontId="18" fillId="19" borderId="20" xfId="0" applyFont="1" applyFill="1" applyBorder="1" applyAlignment="1">
      <alignment horizontal="center" vertical="center"/>
    </xf>
    <xf numFmtId="0" fontId="18" fillId="19" borderId="15" xfId="0" applyFont="1" applyFill="1" applyBorder="1" applyAlignment="1">
      <alignment horizontal="center" vertical="center"/>
    </xf>
    <xf numFmtId="0" fontId="18" fillId="19" borderId="18" xfId="0" applyFont="1" applyFill="1" applyBorder="1" applyAlignment="1">
      <alignment horizontal="center" vertical="center"/>
    </xf>
    <xf numFmtId="0" fontId="12" fillId="16" borderId="19" xfId="45" applyFont="1" applyFill="1" applyBorder="1" applyAlignment="1" applyProtection="1">
      <alignment horizontal="left" vertical="center"/>
      <protection/>
    </xf>
    <xf numFmtId="49" fontId="18" fillId="16" borderId="14" xfId="56" applyNumberFormat="1" applyFont="1" applyFill="1" applyBorder="1" applyAlignment="1">
      <alignment horizontal="center" vertical="center"/>
      <protection/>
    </xf>
    <xf numFmtId="49" fontId="18" fillId="16" borderId="21" xfId="56" applyNumberFormat="1" applyFont="1" applyFill="1" applyBorder="1" applyAlignment="1">
      <alignment horizontal="center" vertical="center"/>
      <protection/>
    </xf>
    <xf numFmtId="49" fontId="18" fillId="16" borderId="20" xfId="56" applyNumberFormat="1" applyFont="1" applyFill="1" applyBorder="1" applyAlignment="1">
      <alignment horizontal="center" vertical="center"/>
      <protection/>
    </xf>
    <xf numFmtId="49" fontId="18" fillId="16" borderId="16" xfId="56" applyNumberFormat="1" applyFont="1" applyFill="1" applyBorder="1" applyAlignment="1">
      <alignment horizontal="center" vertical="center"/>
      <protection/>
    </xf>
    <xf numFmtId="49" fontId="18" fillId="16" borderId="0" xfId="56" applyNumberFormat="1" applyFont="1" applyFill="1" applyBorder="1" applyAlignment="1">
      <alignment horizontal="center" vertical="center"/>
      <protection/>
    </xf>
    <xf numFmtId="49" fontId="18" fillId="16" borderId="15" xfId="56" applyNumberFormat="1" applyFont="1" applyFill="1" applyBorder="1" applyAlignment="1">
      <alignment horizontal="center" vertical="center"/>
      <protection/>
    </xf>
    <xf numFmtId="49" fontId="18" fillId="34" borderId="21" xfId="55" applyNumberFormat="1" applyFont="1" applyFill="1" applyBorder="1" applyAlignment="1">
      <alignment horizontal="center" vertical="center" wrapText="1"/>
      <protection/>
    </xf>
    <xf numFmtId="49" fontId="18" fillId="34" borderId="20" xfId="55" applyNumberFormat="1" applyFont="1" applyFill="1" applyBorder="1" applyAlignment="1">
      <alignment horizontal="center" vertical="center" wrapText="1"/>
      <protection/>
    </xf>
    <xf numFmtId="49" fontId="18" fillId="34" borderId="19" xfId="55" applyNumberFormat="1" applyFont="1" applyFill="1" applyBorder="1" applyAlignment="1">
      <alignment horizontal="center" vertical="center" wrapText="1"/>
      <protection/>
    </xf>
    <xf numFmtId="49" fontId="18" fillId="34" borderId="18" xfId="55" applyNumberFormat="1" applyFont="1" applyFill="1" applyBorder="1" applyAlignment="1">
      <alignment horizontal="center" vertical="center" wrapText="1"/>
      <protection/>
    </xf>
    <xf numFmtId="49" fontId="18" fillId="34" borderId="11" xfId="55" applyNumberFormat="1" applyFont="1" applyFill="1" applyBorder="1" applyAlignment="1">
      <alignment horizontal="center" vertical="center" wrapText="1"/>
      <protection/>
    </xf>
    <xf numFmtId="49" fontId="18" fillId="34" borderId="12" xfId="55" applyNumberFormat="1" applyFont="1" applyFill="1" applyBorder="1" applyAlignment="1">
      <alignment horizontal="center" vertical="center" wrapText="1"/>
      <protection/>
    </xf>
    <xf numFmtId="49" fontId="18" fillId="34" borderId="14" xfId="55" applyNumberFormat="1" applyFont="1" applyFill="1" applyBorder="1" applyAlignment="1">
      <alignment horizontal="center" vertical="center" wrapText="1"/>
      <protection/>
    </xf>
    <xf numFmtId="49" fontId="18" fillId="34" borderId="17" xfId="55" applyNumberFormat="1" applyFont="1" applyFill="1" applyBorder="1" applyAlignment="1">
      <alignment horizontal="center" vertical="center" wrapText="1"/>
      <protection/>
    </xf>
    <xf numFmtId="0" fontId="8" fillId="43" borderId="39" xfId="0" applyFont="1" applyFill="1" applyBorder="1" applyAlignment="1">
      <alignment horizontal="center"/>
    </xf>
    <xf numFmtId="0" fontId="8" fillId="43" borderId="15" xfId="0" applyFont="1" applyFill="1" applyBorder="1" applyAlignment="1">
      <alignment horizontal="center"/>
    </xf>
    <xf numFmtId="17" fontId="8" fillId="43" borderId="51" xfId="0" applyNumberFormat="1" applyFont="1" applyFill="1" applyBorder="1" applyAlignment="1" quotePrefix="1">
      <alignment horizontal="center"/>
    </xf>
    <xf numFmtId="17" fontId="8" fillId="43" borderId="37" xfId="0" applyNumberFormat="1" applyFont="1" applyFill="1" applyBorder="1" applyAlignment="1">
      <alignment horizontal="center"/>
    </xf>
    <xf numFmtId="3" fontId="3" fillId="16" borderId="16" xfId="0" applyNumberFormat="1" applyFont="1" applyFill="1" applyBorder="1" applyAlignment="1">
      <alignment horizontal="center"/>
    </xf>
    <xf numFmtId="3" fontId="3" fillId="16" borderId="0" xfId="0" applyNumberFormat="1" applyFont="1" applyFill="1" applyBorder="1" applyAlignment="1">
      <alignment horizontal="center"/>
    </xf>
    <xf numFmtId="3" fontId="3" fillId="16" borderId="15" xfId="0" applyNumberFormat="1" applyFont="1" applyFill="1" applyBorder="1" applyAlignment="1">
      <alignment horizontal="center"/>
    </xf>
    <xf numFmtId="17" fontId="8" fillId="43" borderId="51" xfId="0" applyNumberFormat="1" applyFont="1" applyFill="1" applyBorder="1" applyAlignment="1">
      <alignment horizontal="center"/>
    </xf>
    <xf numFmtId="1" fontId="8" fillId="43" borderId="51" xfId="0" applyNumberFormat="1" applyFont="1" applyFill="1" applyBorder="1" applyAlignment="1">
      <alignment horizontal="center" vertical="center"/>
    </xf>
    <xf numFmtId="1" fontId="8" fillId="43" borderId="37" xfId="0" applyNumberFormat="1" applyFont="1" applyFill="1" applyBorder="1" applyAlignment="1">
      <alignment horizontal="center" vertical="center"/>
    </xf>
    <xf numFmtId="0" fontId="8" fillId="43" borderId="11" xfId="0" applyNumberFormat="1" applyFont="1" applyFill="1" applyBorder="1" applyAlignment="1">
      <alignment horizontal="center" vertical="center"/>
    </xf>
    <xf numFmtId="0" fontId="8" fillId="43" borderId="24" xfId="0" applyNumberFormat="1" applyFont="1" applyFill="1" applyBorder="1" applyAlignment="1">
      <alignment horizontal="center" vertical="center"/>
    </xf>
    <xf numFmtId="49" fontId="18" fillId="16" borderId="0" xfId="55" applyNumberFormat="1" applyFont="1" applyFill="1" applyBorder="1" applyAlignment="1">
      <alignment horizontal="center" vertical="center" wrapText="1"/>
      <protection/>
    </xf>
    <xf numFmtId="49" fontId="8" fillId="43" borderId="51" xfId="0" applyNumberFormat="1" applyFont="1" applyFill="1" applyBorder="1" applyAlignment="1">
      <alignment horizontal="center" vertical="center"/>
    </xf>
    <xf numFmtId="49" fontId="8" fillId="43" borderId="37" xfId="0" applyNumberFormat="1" applyFont="1" applyFill="1" applyBorder="1" applyAlignment="1">
      <alignment horizontal="center" vertical="center"/>
    </xf>
    <xf numFmtId="49" fontId="8" fillId="43" borderId="2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3" fontId="3" fillId="16" borderId="0" xfId="0" applyNumberFormat="1" applyFont="1" applyFill="1" applyAlignment="1">
      <alignment horizontal="center"/>
    </xf>
    <xf numFmtId="0" fontId="12" fillId="16" borderId="51" xfId="0" applyFont="1" applyFill="1" applyBorder="1" applyAlignment="1">
      <alignment horizontal="center"/>
    </xf>
    <xf numFmtId="0" fontId="12" fillId="16" borderId="37" xfId="0" applyFont="1" applyFill="1" applyBorder="1" applyAlignment="1">
      <alignment horizontal="center"/>
    </xf>
    <xf numFmtId="0" fontId="12" fillId="16" borderId="27" xfId="0" applyFont="1" applyFill="1" applyBorder="1" applyAlignment="1">
      <alignment horizontal="center"/>
    </xf>
    <xf numFmtId="0" fontId="138" fillId="2" borderId="0" xfId="0" applyFont="1" applyFill="1" applyAlignment="1">
      <alignment horizontal="center"/>
    </xf>
    <xf numFmtId="0" fontId="0" fillId="16" borderId="16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0" fontId="8" fillId="16" borderId="16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8" fillId="16" borderId="15" xfId="0" applyFont="1" applyFill="1" applyBorder="1" applyAlignment="1">
      <alignment horizontal="center"/>
    </xf>
    <xf numFmtId="0" fontId="26" fillId="16" borderId="14" xfId="0" applyFont="1" applyFill="1" applyBorder="1" applyAlignment="1">
      <alignment horizontal="center"/>
    </xf>
    <xf numFmtId="0" fontId="26" fillId="16" borderId="21" xfId="0" applyFont="1" applyFill="1" applyBorder="1" applyAlignment="1">
      <alignment horizontal="center"/>
    </xf>
    <xf numFmtId="0" fontId="26" fillId="16" borderId="20" xfId="0" applyFont="1" applyFill="1" applyBorder="1" applyAlignment="1">
      <alignment horizontal="center"/>
    </xf>
    <xf numFmtId="0" fontId="41" fillId="16" borderId="14" xfId="0" applyFont="1" applyFill="1" applyBorder="1" applyAlignment="1">
      <alignment horizontal="center"/>
    </xf>
    <xf numFmtId="0" fontId="41" fillId="16" borderId="21" xfId="0" applyFont="1" applyFill="1" applyBorder="1" applyAlignment="1">
      <alignment horizontal="center"/>
    </xf>
    <xf numFmtId="0" fontId="41" fillId="16" borderId="20" xfId="0" applyFont="1" applyFill="1" applyBorder="1" applyAlignment="1">
      <alignment horizontal="center"/>
    </xf>
    <xf numFmtId="0" fontId="8" fillId="16" borderId="17" xfId="0" applyFont="1" applyFill="1" applyBorder="1" applyAlignment="1">
      <alignment horizontal="center"/>
    </xf>
    <xf numFmtId="0" fontId="8" fillId="16" borderId="19" xfId="0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/>
    </xf>
    <xf numFmtId="0" fontId="8" fillId="16" borderId="51" xfId="0" applyFont="1" applyFill="1" applyBorder="1" applyAlignment="1">
      <alignment horizontal="center"/>
    </xf>
    <xf numFmtId="0" fontId="8" fillId="16" borderId="37" xfId="0" applyFont="1" applyFill="1" applyBorder="1" applyAlignment="1">
      <alignment horizontal="center"/>
    </xf>
    <xf numFmtId="0" fontId="8" fillId="16" borderId="27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137" fillId="0" borderId="0" xfId="0" applyFont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34" borderId="2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24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34" borderId="24" xfId="0" applyNumberFormat="1" applyFont="1" applyFill="1" applyBorder="1" applyAlignment="1">
      <alignment horizontal="center"/>
    </xf>
    <xf numFmtId="0" fontId="8" fillId="34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34" borderId="15" xfId="0" applyFill="1" applyBorder="1" applyAlignment="1">
      <alignment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0" fillId="10" borderId="31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10" borderId="39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wrapText="1"/>
    </xf>
    <xf numFmtId="0" fontId="0" fillId="10" borderId="51" xfId="0" applyFont="1" applyFill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0" fillId="10" borderId="3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137" fillId="2" borderId="0" xfId="0" applyFont="1" applyFill="1" applyAlignment="1">
      <alignment horizontal="center"/>
    </xf>
    <xf numFmtId="0" fontId="8" fillId="13" borderId="41" xfId="0" applyFont="1" applyFill="1" applyBorder="1" applyAlignment="1">
      <alignment horizontal="center"/>
    </xf>
    <xf numFmtId="0" fontId="0" fillId="16" borderId="43" xfId="0" applyFont="1" applyFill="1" applyBorder="1" applyAlignment="1">
      <alignment horizontal="left" vertical="center" wrapText="1"/>
    </xf>
    <xf numFmtId="0" fontId="8" fillId="13" borderId="39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8" fillId="13" borderId="33" xfId="0" applyFont="1" applyFill="1" applyBorder="1" applyAlignment="1">
      <alignment horizontal="center"/>
    </xf>
    <xf numFmtId="0" fontId="8" fillId="13" borderId="32" xfId="0" applyFont="1" applyFill="1" applyBorder="1" applyAlignment="1">
      <alignment horizontal="center"/>
    </xf>
    <xf numFmtId="0" fontId="138" fillId="37" borderId="0" xfId="0" applyFont="1" applyFill="1" applyAlignment="1">
      <alignment horizontal="center"/>
    </xf>
    <xf numFmtId="2" fontId="8" fillId="45" borderId="57" xfId="70" applyNumberFormat="1" applyFont="1" applyFill="1" applyBorder="1" applyAlignment="1">
      <alignment horizontal="center" vertical="center"/>
    </xf>
    <xf numFmtId="2" fontId="8" fillId="45" borderId="68" xfId="70" applyNumberFormat="1" applyFont="1" applyFill="1" applyBorder="1" applyAlignment="1">
      <alignment horizontal="center" vertical="center"/>
    </xf>
    <xf numFmtId="2" fontId="8" fillId="45" borderId="57" xfId="70" applyNumberFormat="1" applyFont="1" applyFill="1" applyBorder="1" applyAlignment="1" applyProtection="1">
      <alignment horizontal="center" vertical="center"/>
      <protection/>
    </xf>
    <xf numFmtId="2" fontId="8" fillId="45" borderId="68" xfId="70" applyNumberFormat="1" applyFont="1" applyFill="1" applyBorder="1" applyAlignment="1" applyProtection="1">
      <alignment horizontal="center" vertical="center"/>
      <protection/>
    </xf>
    <xf numFmtId="0" fontId="8" fillId="45" borderId="75" xfId="0" applyFont="1" applyFill="1" applyBorder="1" applyAlignment="1">
      <alignment horizontal="center" vertical="center"/>
    </xf>
    <xf numFmtId="0" fontId="8" fillId="45" borderId="41" xfId="0" applyFont="1" applyFill="1" applyBorder="1" applyAlignment="1">
      <alignment horizontal="center" vertical="center"/>
    </xf>
    <xf numFmtId="0" fontId="8" fillId="45" borderId="76" xfId="0" applyFont="1" applyFill="1" applyBorder="1" applyAlignment="1">
      <alignment horizontal="center" vertical="center"/>
    </xf>
    <xf numFmtId="0" fontId="8" fillId="45" borderId="0" xfId="0" applyFont="1" applyFill="1" applyBorder="1" applyAlignment="1">
      <alignment horizontal="center" vertical="center"/>
    </xf>
    <xf numFmtId="3" fontId="3" fillId="16" borderId="0" xfId="0" applyNumberFormat="1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center" vertical="center"/>
    </xf>
    <xf numFmtId="0" fontId="8" fillId="45" borderId="25" xfId="0" applyFont="1" applyFill="1" applyBorder="1" applyAlignment="1">
      <alignment horizontal="center" vertical="center"/>
    </xf>
    <xf numFmtId="0" fontId="8" fillId="45" borderId="77" xfId="0" applyFont="1" applyFill="1" applyBorder="1" applyAlignment="1">
      <alignment horizontal="center" vertical="center"/>
    </xf>
    <xf numFmtId="0" fontId="8" fillId="45" borderId="43" xfId="0" applyFont="1" applyFill="1" applyBorder="1" applyAlignment="1">
      <alignment horizontal="center" vertical="center"/>
    </xf>
    <xf numFmtId="0" fontId="8" fillId="45" borderId="78" xfId="0" applyFont="1" applyFill="1" applyBorder="1" applyAlignment="1">
      <alignment horizontal="center" vertical="center"/>
    </xf>
    <xf numFmtId="0" fontId="0" fillId="45" borderId="79" xfId="0" applyFont="1" applyFill="1" applyBorder="1" applyAlignment="1">
      <alignment horizontal="center" vertical="center"/>
    </xf>
    <xf numFmtId="0" fontId="0" fillId="45" borderId="19" xfId="0" applyFont="1" applyFill="1" applyBorder="1" applyAlignment="1">
      <alignment horizontal="center" vertical="center"/>
    </xf>
    <xf numFmtId="0" fontId="0" fillId="45" borderId="49" xfId="0" applyFont="1" applyFill="1" applyBorder="1" applyAlignment="1">
      <alignment horizontal="center" vertical="center"/>
    </xf>
    <xf numFmtId="0" fontId="29" fillId="0" borderId="20" xfId="51" applyFont="1" applyBorder="1" applyAlignment="1">
      <alignment horizontal="center" vertical="center" wrapText="1"/>
      <protection/>
    </xf>
    <xf numFmtId="0" fontId="29" fillId="0" borderId="15" xfId="51" applyFont="1" applyBorder="1" applyAlignment="1">
      <alignment horizontal="center" vertical="center" wrapText="1"/>
      <protection/>
    </xf>
    <xf numFmtId="0" fontId="29" fillId="0" borderId="18" xfId="51" applyFont="1" applyBorder="1" applyAlignment="1">
      <alignment horizontal="center" vertical="center" wrapText="1"/>
      <protection/>
    </xf>
    <xf numFmtId="167" fontId="8" fillId="0" borderId="20" xfId="70" applyNumberFormat="1" applyFont="1" applyFill="1" applyBorder="1" applyAlignment="1" applyProtection="1">
      <alignment horizontal="center" vertical="center"/>
      <protection/>
    </xf>
    <xf numFmtId="167" fontId="8" fillId="0" borderId="15" xfId="70" applyNumberFormat="1" applyFont="1" applyFill="1" applyBorder="1" applyAlignment="1" applyProtection="1">
      <alignment horizontal="center" vertical="center"/>
      <protection/>
    </xf>
    <xf numFmtId="167" fontId="8" fillId="0" borderId="18" xfId="70" applyNumberFormat="1" applyFont="1" applyFill="1" applyBorder="1" applyAlignment="1" applyProtection="1">
      <alignment horizontal="center" vertical="center"/>
      <protection/>
    </xf>
    <xf numFmtId="167" fontId="8" fillId="36" borderId="20" xfId="70" applyNumberFormat="1" applyFont="1" applyFill="1" applyBorder="1" applyAlignment="1" applyProtection="1">
      <alignment horizontal="center" vertical="center"/>
      <protection/>
    </xf>
    <xf numFmtId="167" fontId="8" fillId="36" borderId="15" xfId="70" applyNumberFormat="1" applyFont="1" applyFill="1" applyBorder="1" applyAlignment="1" applyProtection="1">
      <alignment horizontal="center" vertical="center"/>
      <protection/>
    </xf>
    <xf numFmtId="167" fontId="8" fillId="36" borderId="18" xfId="70" applyNumberFormat="1" applyFont="1" applyFill="1" applyBorder="1" applyAlignment="1" applyProtection="1">
      <alignment horizontal="center" vertical="center"/>
      <protection/>
    </xf>
    <xf numFmtId="0" fontId="29" fillId="36" borderId="15" xfId="51" applyFont="1" applyFill="1" applyBorder="1" applyAlignment="1">
      <alignment horizontal="center" vertical="center" wrapText="1"/>
      <protection/>
    </xf>
    <xf numFmtId="0" fontId="29" fillId="36" borderId="30" xfId="51" applyFont="1" applyFill="1" applyBorder="1" applyAlignment="1">
      <alignment horizontal="center" vertical="center" wrapText="1"/>
      <protection/>
    </xf>
    <xf numFmtId="175" fontId="8" fillId="45" borderId="78" xfId="70" applyNumberFormat="1" applyFont="1" applyFill="1" applyBorder="1" applyAlignment="1" applyProtection="1">
      <alignment horizontal="center" vertical="center"/>
      <protection/>
    </xf>
    <xf numFmtId="175" fontId="8" fillId="45" borderId="68" xfId="70" applyNumberFormat="1" applyFont="1" applyFill="1" applyBorder="1" applyAlignment="1" applyProtection="1">
      <alignment horizontal="center" vertical="center"/>
      <protection/>
    </xf>
    <xf numFmtId="178" fontId="8" fillId="45" borderId="80" xfId="70" applyNumberFormat="1" applyFont="1" applyFill="1" applyBorder="1" applyAlignment="1">
      <alignment horizontal="center" vertical="center"/>
    </xf>
    <xf numFmtId="178" fontId="8" fillId="45" borderId="54" xfId="70" applyNumberFormat="1" applyFont="1" applyFill="1" applyBorder="1" applyAlignment="1">
      <alignment horizontal="center" vertical="center"/>
    </xf>
    <xf numFmtId="178" fontId="8" fillId="45" borderId="29" xfId="70" applyNumberFormat="1" applyFont="1" applyFill="1" applyBorder="1" applyAlignment="1">
      <alignment horizontal="center" vertical="center"/>
    </xf>
    <xf numFmtId="178" fontId="8" fillId="45" borderId="31" xfId="70" applyNumberFormat="1" applyFont="1" applyFill="1" applyBorder="1" applyAlignment="1">
      <alignment horizontal="center" vertical="center"/>
    </xf>
    <xf numFmtId="175" fontId="8" fillId="45" borderId="81" xfId="70" applyNumberFormat="1" applyFont="1" applyFill="1" applyBorder="1" applyAlignment="1" applyProtection="1">
      <alignment horizontal="center" vertical="center"/>
      <protection/>
    </xf>
    <xf numFmtId="175" fontId="8" fillId="45" borderId="55" xfId="70" applyNumberFormat="1" applyFont="1" applyFill="1" applyBorder="1" applyAlignment="1" applyProtection="1">
      <alignment horizontal="center" vertical="center"/>
      <protection/>
    </xf>
    <xf numFmtId="178" fontId="8" fillId="45" borderId="39" xfId="70" applyNumberFormat="1" applyFont="1" applyFill="1" applyBorder="1" applyAlignment="1">
      <alignment horizontal="center" vertical="center"/>
    </xf>
    <xf numFmtId="178" fontId="8" fillId="45" borderId="30" xfId="70" applyNumberFormat="1" applyFont="1" applyFill="1" applyBorder="1" applyAlignment="1">
      <alignment horizontal="center" vertical="center"/>
    </xf>
    <xf numFmtId="173" fontId="8" fillId="45" borderId="29" xfId="70" applyNumberFormat="1" applyFont="1" applyFill="1" applyBorder="1" applyAlignment="1" applyProtection="1">
      <alignment horizontal="center" vertical="center"/>
      <protection/>
    </xf>
    <xf numFmtId="173" fontId="8" fillId="45" borderId="31" xfId="70" applyNumberFormat="1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9" fillId="0" borderId="20" xfId="51" applyFont="1" applyBorder="1" applyAlignment="1">
      <alignment horizontal="center" vertical="center"/>
      <protection/>
    </xf>
    <xf numFmtId="0" fontId="29" fillId="0" borderId="15" xfId="51" applyFont="1" applyBorder="1" applyAlignment="1">
      <alignment horizontal="center" vertical="center"/>
      <protection/>
    </xf>
    <xf numFmtId="0" fontId="29" fillId="0" borderId="30" xfId="51" applyFont="1" applyBorder="1" applyAlignment="1">
      <alignment horizontal="center" vertical="center"/>
      <protection/>
    </xf>
    <xf numFmtId="0" fontId="5" fillId="37" borderId="0" xfId="0" applyFont="1" applyFill="1" applyAlignment="1">
      <alignment horizontal="center"/>
    </xf>
    <xf numFmtId="0" fontId="0" fillId="45" borderId="57" xfId="0" applyFont="1" applyFill="1" applyBorder="1" applyAlignment="1">
      <alignment horizontal="center" vertical="center"/>
    </xf>
    <xf numFmtId="0" fontId="0" fillId="45" borderId="25" xfId="0" applyFont="1" applyFill="1" applyBorder="1" applyAlignment="1">
      <alignment horizontal="center" vertical="center"/>
    </xf>
    <xf numFmtId="0" fontId="0" fillId="45" borderId="68" xfId="0" applyFont="1" applyFill="1" applyBorder="1" applyAlignment="1">
      <alignment horizontal="center" vertical="center"/>
    </xf>
    <xf numFmtId="178" fontId="0" fillId="45" borderId="80" xfId="70" applyNumberFormat="1" applyFont="1" applyFill="1" applyBorder="1" applyAlignment="1">
      <alignment horizontal="center" vertical="center"/>
    </xf>
    <xf numFmtId="178" fontId="0" fillId="45" borderId="54" xfId="70" applyNumberFormat="1" applyFont="1" applyFill="1" applyBorder="1" applyAlignment="1">
      <alignment horizontal="center" vertical="center"/>
    </xf>
    <xf numFmtId="175" fontId="8" fillId="45" borderId="43" xfId="70" applyNumberFormat="1" applyFont="1" applyFill="1" applyBorder="1" applyAlignment="1" applyProtection="1">
      <alignment horizontal="center" vertical="center"/>
      <protection/>
    </xf>
    <xf numFmtId="175" fontId="8" fillId="45" borderId="25" xfId="7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1" fillId="43" borderId="21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/>
    </xf>
    <xf numFmtId="49" fontId="8" fillId="35" borderId="24" xfId="0" applyNumberFormat="1" applyFont="1" applyFill="1" applyBorder="1" applyAlignment="1">
      <alignment horizontal="center"/>
    </xf>
    <xf numFmtId="0" fontId="31" fillId="43" borderId="12" xfId="0" applyFont="1" applyFill="1" applyBorder="1" applyAlignment="1">
      <alignment horizontal="center" vertical="center"/>
    </xf>
    <xf numFmtId="0" fontId="31" fillId="43" borderId="10" xfId="0" applyFont="1" applyFill="1" applyBorder="1" applyAlignment="1">
      <alignment horizontal="center" vertical="center"/>
    </xf>
    <xf numFmtId="0" fontId="31" fillId="43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/>
    </xf>
    <xf numFmtId="49" fontId="8" fillId="35" borderId="12" xfId="0" applyNumberFormat="1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_Ranking do Agronegócio-Valores" xfId="45"/>
    <cellStyle name="Incorreto" xfId="46"/>
    <cellStyle name="Currency" xfId="47"/>
    <cellStyle name="Currency [0]" xfId="48"/>
    <cellStyle name="Neutra" xfId="49"/>
    <cellStyle name="Normal 2" xfId="50"/>
    <cellStyle name="Normal 2_Produção CONAB - 1999 a 2014" xfId="51"/>
    <cellStyle name="Normal_Balança Janeiro-02" xfId="52"/>
    <cellStyle name="Normal_Estoques privados e público-CONAB-04-13" xfId="53"/>
    <cellStyle name="Normal_Informe Café - Julho-02" xfId="54"/>
    <cellStyle name="Normal_Plan1_1" xfId="55"/>
    <cellStyle name="Normal_Ranking do Agronegócio-Valores" xfId="56"/>
    <cellStyle name="Nota" xfId="57"/>
    <cellStyle name="Percent" xfId="58"/>
    <cellStyle name="Saída" xfId="59"/>
    <cellStyle name="Comma [0]" xfId="60"/>
    <cellStyle name="Separador de milhares_Estoques privados e público-CONAB-04-13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1025"/>
          <c:w val="0.9762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Plan1!$B$5:$Q$5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Plan1!$B$6:$Q$6</c:f>
              <c:numCache>
                <c:ptCount val="16"/>
                <c:pt idx="0">
                  <c:v>22.5</c:v>
                </c:pt>
                <c:pt idx="1">
                  <c:v>37.9</c:v>
                </c:pt>
                <c:pt idx="2">
                  <c:v>20.1</c:v>
                </c:pt>
                <c:pt idx="3">
                  <c:v>31.7</c:v>
                </c:pt>
                <c:pt idx="4">
                  <c:v>23.8</c:v>
                </c:pt>
                <c:pt idx="5">
                  <c:v>33</c:v>
                </c:pt>
                <c:pt idx="6">
                  <c:v>25.1</c:v>
                </c:pt>
                <c:pt idx="7">
                  <c:v>35.5</c:v>
                </c:pt>
                <c:pt idx="8">
                  <c:v>28.8</c:v>
                </c:pt>
                <c:pt idx="9">
                  <c:v>36.8</c:v>
                </c:pt>
                <c:pt idx="10">
                  <c:v>32.2</c:v>
                </c:pt>
                <c:pt idx="11">
                  <c:v>38.3</c:v>
                </c:pt>
                <c:pt idx="12">
                  <c:v>38.3</c:v>
                </c:pt>
                <c:pt idx="13">
                  <c:v>32.6</c:v>
                </c:pt>
                <c:pt idx="14">
                  <c:v>32</c:v>
                </c:pt>
                <c:pt idx="15">
                  <c:v>40.27</c:v>
                </c:pt>
              </c:numCache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Plan1!$B$5:$Q$5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Plan1!$B$7:$Q$7</c:f>
              <c:numCache>
                <c:ptCount val="16"/>
                <c:pt idx="0">
                  <c:v>8.8</c:v>
                </c:pt>
                <c:pt idx="1">
                  <c:v>10.5</c:v>
                </c:pt>
                <c:pt idx="2">
                  <c:v>8.7</c:v>
                </c:pt>
                <c:pt idx="3">
                  <c:v>7.5</c:v>
                </c:pt>
                <c:pt idx="4">
                  <c:v>9.1</c:v>
                </c:pt>
                <c:pt idx="5">
                  <c:v>9.5</c:v>
                </c:pt>
                <c:pt idx="6">
                  <c:v>10.9</c:v>
                </c:pt>
                <c:pt idx="7">
                  <c:v>10.5</c:v>
                </c:pt>
                <c:pt idx="8">
                  <c:v>10.6</c:v>
                </c:pt>
                <c:pt idx="9">
                  <c:v>11.2</c:v>
                </c:pt>
                <c:pt idx="10">
                  <c:v>11.3</c:v>
                </c:pt>
                <c:pt idx="11">
                  <c:v>12.5</c:v>
                </c:pt>
                <c:pt idx="12">
                  <c:v>10.9</c:v>
                </c:pt>
                <c:pt idx="13">
                  <c:v>13</c:v>
                </c:pt>
                <c:pt idx="14">
                  <c:v>11.2</c:v>
                </c:pt>
                <c:pt idx="15">
                  <c:v>9.399</c:v>
                </c:pt>
              </c:numCache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BAIXA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43,2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ALTA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49,7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Plan1!$B$5:$Q$5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Plan1!$B$8:$Q$8</c:f>
              <c:numCache>
                <c:ptCount val="16"/>
                <c:pt idx="0">
                  <c:v>31.3</c:v>
                </c:pt>
                <c:pt idx="1">
                  <c:v>48.4</c:v>
                </c:pt>
                <c:pt idx="2">
                  <c:v>28.8</c:v>
                </c:pt>
                <c:pt idx="3">
                  <c:v>39.2</c:v>
                </c:pt>
                <c:pt idx="4">
                  <c:v>32.9</c:v>
                </c:pt>
                <c:pt idx="5">
                  <c:v>42.5</c:v>
                </c:pt>
                <c:pt idx="6">
                  <c:v>36</c:v>
                </c:pt>
                <c:pt idx="7">
                  <c:v>46</c:v>
                </c:pt>
                <c:pt idx="8">
                  <c:v>39.4</c:v>
                </c:pt>
                <c:pt idx="9">
                  <c:v>48</c:v>
                </c:pt>
                <c:pt idx="10">
                  <c:v>43.5</c:v>
                </c:pt>
                <c:pt idx="11">
                  <c:v>50.8</c:v>
                </c:pt>
                <c:pt idx="12">
                  <c:v>49.199999999999996</c:v>
                </c:pt>
                <c:pt idx="13">
                  <c:v>45.6</c:v>
                </c:pt>
                <c:pt idx="14">
                  <c:v>43.2</c:v>
                </c:pt>
                <c:pt idx="15">
                  <c:v>49.669000000000004</c:v>
                </c:pt>
              </c:numCache>
            </c:numRef>
          </c:val>
        </c:ser>
        <c:gapWidth val="75"/>
        <c:axId val="10812255"/>
        <c:axId val="30201432"/>
      </c:bar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2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375"/>
          <c:y val="0.94575"/>
          <c:w val="0.2465"/>
          <c:h val="0.0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2016/15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325"/>
          <c:w val="0.774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'16.Exp. Torrado'!$D$6:$D$13</c:f>
              <c:numCache/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('16.Exp. Torrado'!$G$6:$G$13,'16.Exp. Torrado'!$G$15:$G$18)</c:f>
              <c:numCache/>
            </c:numRef>
          </c:val>
        </c:ser>
        <c:axId val="6155113"/>
        <c:axId val="55396018"/>
      </c:barChart>
      <c:cat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18225"/>
          <c:w val="0.1365"/>
          <c:h val="0.5747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2016/15</a:t>
            </a:r>
          </a:p>
        </c:rich>
      </c:tx>
      <c:layout>
        <c:manualLayout>
          <c:xMode val="factor"/>
          <c:yMode val="factor"/>
          <c:x val="-0.014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95"/>
          <c:w val="0.814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'17.Exp. Extrato'!$C$6:$C$13</c:f>
              <c:numCache/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('17.Exp. Extrato'!$F$6:$F$13,'17.Exp. Extrato'!$F$15:$F$18)</c:f>
              <c:numCache/>
            </c:numRef>
          </c:val>
        </c:ser>
        <c:axId val="28802115"/>
        <c:axId val="57892444"/>
      </c:barChart>
      <c:cat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4625"/>
          <c:w val="0.1425"/>
          <c:h val="0.6557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2016/15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0835"/>
          <c:w val="0.788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'17.Exp. Extrato'!$D$6:$D$13</c:f>
              <c:numCache/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('17.Exp. Extrato'!$G$6:$G$12,'17.Exp. Extrato'!$G$15:$G$18)</c:f>
              <c:numCache/>
            </c:numRef>
          </c:val>
        </c:ser>
        <c:axId val="51269949"/>
        <c:axId val="58776358"/>
      </c:barChart>
      <c:catAx>
        <c:axId val="5126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13075"/>
          <c:w val="0.1365"/>
          <c:h val="0.649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Global 2016/15</a:t>
            </a:r>
          </a:p>
        </c:rich>
      </c:tx>
      <c:layout>
        <c:manualLayout>
          <c:xMode val="factor"/>
          <c:yMode val="factor"/>
          <c:x val="0.007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365"/>
          <c:w val="0.8352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'18.Total'!$C$7:$C$14</c:f>
              <c:numCache/>
            </c:numRef>
          </c:val>
        </c:ser>
        <c:ser>
          <c:idx val="0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'18.Total'!$L$7:$L$14</c:f>
              <c:numCache/>
            </c:numRef>
          </c:val>
        </c:ser>
        <c:axId val="59225175"/>
        <c:axId val="63264528"/>
      </c:barChart>
      <c:cat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8"/>
          <c:w val="0.13975"/>
          <c:h val="0.5792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Global 2016/15</a:t>
            </a:r>
          </a:p>
        </c:rich>
      </c:tx>
      <c:layout>
        <c:manualLayout>
          <c:xMode val="factor"/>
          <c:yMode val="factor"/>
          <c:x val="0.028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2475"/>
          <c:w val="0.82"/>
          <c:h val="0.76525"/>
        </c:manualLayout>
      </c:layout>
      <c:barChart>
        <c:barDir val="col"/>
        <c:grouping val="clustered"/>
        <c:varyColors val="0"/>
        <c:ser>
          <c:idx val="1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'18.Total'!$F$7:$F$14</c:f>
              <c:numCache/>
            </c:numRef>
          </c:val>
        </c:ser>
        <c:ser>
          <c:idx val="0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'18.Total'!$N$7:$N$14</c:f>
              <c:numCache/>
            </c:numRef>
          </c:val>
        </c:ser>
        <c:axId val="32509841"/>
        <c:axId val="24153114"/>
      </c:barChart>
      <c:catAx>
        <c:axId val="325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1805"/>
          <c:w val="0.14525"/>
          <c:h val="0.5707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05"/>
          <c:w val="0.9632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Plan1!$B$5:$Q$5</c:f>
              <c:numCache/>
            </c:numRef>
          </c:cat>
          <c:val>
            <c:numRef>
              <c:f>Plan1!$B$6:$Q$6</c:f>
              <c:numCache/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Plan1!$B$5:$Q$5</c:f>
              <c:numCache/>
            </c:numRef>
          </c:cat>
          <c:val>
            <c:numRef>
              <c:f>Plan1!$B$7:$Q$7</c:f>
              <c:numCache/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Plan1!$B$5:$Q$5</c:f>
              <c:numCache/>
            </c:numRef>
          </c:cat>
          <c:val>
            <c:numRef>
              <c:f>Plan1!$B$8:$Q$8</c:f>
              <c:numCache/>
            </c:numRef>
          </c:val>
        </c:ser>
        <c:gapWidth val="75"/>
        <c:axId val="16051435"/>
        <c:axId val="10245188"/>
      </c:bar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75"/>
          <c:y val="0.89575"/>
          <c:w val="0.327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Evolução dos Preços
Pagos ao Produtor - 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Em R$/saca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5975"/>
          <c:w val="0.856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'6.Preços'!$A$29</c:f>
              <c:strCache>
                <c:ptCount val="1"/>
                <c:pt idx="0">
                  <c:v>MG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'6.Preços'!$B$28:$E$28</c:f>
              <c:strCache/>
            </c:strRef>
          </c:cat>
          <c:val>
            <c:numRef>
              <c:f>'6.Preços'!$B$29:$E$29</c:f>
              <c:numCache/>
            </c:numRef>
          </c:val>
          <c:smooth val="0"/>
        </c:ser>
        <c:ser>
          <c:idx val="1"/>
          <c:order val="1"/>
          <c:tx>
            <c:strRef>
              <c:f>'6.Preços'!$A$31</c:f>
              <c:strCache>
                <c:ptCount val="1"/>
                <c:pt idx="0">
                  <c:v>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'6.Preços'!$B$28:$E$28</c:f>
              <c:strCache/>
            </c:strRef>
          </c:cat>
          <c:val>
            <c:numRef>
              <c:f>'6.Preços'!$B$31:$E$31</c:f>
              <c:numCache/>
            </c:numRef>
          </c:val>
          <c:smooth val="0"/>
        </c:ser>
        <c:marker val="1"/>
        <c:axId val="3377433"/>
        <c:axId val="30396898"/>
      </c:lineChart>
      <c:catAx>
        <c:axId val="3377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  <c:min val="16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7433"/>
        <c:crossesAt val="1"/>
        <c:crossBetween val="between"/>
        <c:dispUnits/>
      </c:valAx>
      <c:spPr>
        <a:solidFill>
          <a:srgbClr val="C4BD9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23475"/>
          <c:w val="0.154"/>
          <c:h val="0.5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3D69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Evolução dos Preços
Internacionais -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NY US$(cents/lp) e  LD (US$/Ton.)</a:t>
            </a:r>
          </a:p>
        </c:rich>
      </c:tx>
      <c:layout>
        <c:manualLayout>
          <c:xMode val="factor"/>
          <c:yMode val="factor"/>
          <c:x val="0.03875"/>
          <c:y val="-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5"/>
          <c:y val="0.1285"/>
          <c:w val="0.8632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'6.Preços'!$A$30</c:f>
              <c:strCache>
                <c:ptCount val="1"/>
                <c:pt idx="0">
                  <c:v>NY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'6.Preços'!$B$28:$E$28</c:f>
              <c:strCache/>
            </c:strRef>
          </c:cat>
          <c:val>
            <c:numRef>
              <c:f>'6.Preços'!$B$30:$E$30</c:f>
              <c:numCache/>
            </c:numRef>
          </c:val>
          <c:smooth val="0"/>
        </c:ser>
        <c:ser>
          <c:idx val="1"/>
          <c:order val="1"/>
          <c:tx>
            <c:strRef>
              <c:f>'6.Preços'!$A$32</c:f>
              <c:strCache>
                <c:ptCount val="1"/>
                <c:pt idx="0">
                  <c:v>LD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'6.Preços'!$B$28:$E$28</c:f>
              <c:strCache/>
            </c:strRef>
          </c:cat>
          <c:val>
            <c:numRef>
              <c:f>'6.Preços'!$B$32:$E$32</c:f>
              <c:numCache/>
            </c:numRef>
          </c:val>
          <c:smooth val="0"/>
        </c:ser>
        <c:marker val="1"/>
        <c:axId val="5136627"/>
        <c:axId val="46229644"/>
      </c:line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6627"/>
        <c:crossesAt val="1"/>
        <c:crossBetween val="between"/>
        <c:dispUnits/>
      </c:valAx>
      <c:spPr>
        <a:solidFill>
          <a:srgbClr val="C4BD9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17475"/>
          <c:w val="0.13575"/>
          <c:h val="0.6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3D69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23975"/>
          <c:w val="0.8722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'[1]Preços Internos'!$B$3</c:f>
              <c:strCache>
                <c:ptCount val="1"/>
                <c:pt idx="0">
                  <c:v>Arábica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'[1]Preços Internos'!$A$4:$A$83</c:f>
              <c:numCache>
                <c:ptCount val="80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</c:numCache>
            </c:numRef>
          </c:cat>
          <c:val>
            <c:numRef>
              <c:f>'[1]Preços Internos'!$B$4:$B$83</c:f>
              <c:numCache>
                <c:ptCount val="80"/>
                <c:pt idx="0">
                  <c:v>280.75</c:v>
                </c:pt>
                <c:pt idx="1">
                  <c:v>278.68</c:v>
                </c:pt>
                <c:pt idx="2">
                  <c:v>279.7</c:v>
                </c:pt>
                <c:pt idx="3">
                  <c:v>282.17</c:v>
                </c:pt>
                <c:pt idx="4">
                  <c:v>289.46</c:v>
                </c:pt>
                <c:pt idx="5">
                  <c:v>305.99</c:v>
                </c:pt>
                <c:pt idx="6">
                  <c:v>302.36</c:v>
                </c:pt>
                <c:pt idx="7">
                  <c:v>313.93318181818177</c:v>
                </c:pt>
                <c:pt idx="8">
                  <c:v>328.23</c:v>
                </c:pt>
                <c:pt idx="9">
                  <c:v>327.15</c:v>
                </c:pt>
                <c:pt idx="10">
                  <c:v>355.51</c:v>
                </c:pt>
                <c:pt idx="11">
                  <c:v>387.01</c:v>
                </c:pt>
                <c:pt idx="12">
                  <c:v>433.34</c:v>
                </c:pt>
                <c:pt idx="13">
                  <c:v>495.98</c:v>
                </c:pt>
                <c:pt idx="14">
                  <c:v>524.27</c:v>
                </c:pt>
                <c:pt idx="15">
                  <c:v>524.41</c:v>
                </c:pt>
                <c:pt idx="16">
                  <c:v>530.76</c:v>
                </c:pt>
                <c:pt idx="17">
                  <c:v>515.01</c:v>
                </c:pt>
                <c:pt idx="18">
                  <c:v>457.81</c:v>
                </c:pt>
                <c:pt idx="19">
                  <c:v>470.62</c:v>
                </c:pt>
                <c:pt idx="20">
                  <c:v>511.57</c:v>
                </c:pt>
                <c:pt idx="21">
                  <c:v>490.45</c:v>
                </c:pt>
                <c:pt idx="22">
                  <c:v>493.83</c:v>
                </c:pt>
                <c:pt idx="23">
                  <c:v>491.35</c:v>
                </c:pt>
                <c:pt idx="24">
                  <c:v>485.04</c:v>
                </c:pt>
                <c:pt idx="25">
                  <c:v>441.31</c:v>
                </c:pt>
                <c:pt idx="26">
                  <c:v>387.49</c:v>
                </c:pt>
                <c:pt idx="27">
                  <c:v>379.53</c:v>
                </c:pt>
                <c:pt idx="28">
                  <c:v>382.65</c:v>
                </c:pt>
                <c:pt idx="29">
                  <c:v>360.31</c:v>
                </c:pt>
                <c:pt idx="30">
                  <c:v>408.06</c:v>
                </c:pt>
                <c:pt idx="31">
                  <c:v>378.48</c:v>
                </c:pt>
                <c:pt idx="32">
                  <c:v>385.92</c:v>
                </c:pt>
                <c:pt idx="33">
                  <c:v>374.98</c:v>
                </c:pt>
                <c:pt idx="34">
                  <c:v>355.23</c:v>
                </c:pt>
                <c:pt idx="35">
                  <c:v>341.4</c:v>
                </c:pt>
                <c:pt idx="36">
                  <c:v>341.16</c:v>
                </c:pt>
                <c:pt idx="37">
                  <c:v>317.72</c:v>
                </c:pt>
                <c:pt idx="38">
                  <c:v>303.42</c:v>
                </c:pt>
                <c:pt idx="39">
                  <c:v>300.51</c:v>
                </c:pt>
                <c:pt idx="40">
                  <c:v>297.25</c:v>
                </c:pt>
                <c:pt idx="41">
                  <c:v>285.71</c:v>
                </c:pt>
                <c:pt idx="42">
                  <c:v>287.57</c:v>
                </c:pt>
                <c:pt idx="43">
                  <c:v>286.17</c:v>
                </c:pt>
                <c:pt idx="44">
                  <c:v>273.9</c:v>
                </c:pt>
                <c:pt idx="45">
                  <c:v>253.94</c:v>
                </c:pt>
                <c:pt idx="46">
                  <c:v>247.73</c:v>
                </c:pt>
                <c:pt idx="47">
                  <c:v>272.1</c:v>
                </c:pt>
                <c:pt idx="48">
                  <c:v>289.44</c:v>
                </c:pt>
                <c:pt idx="49">
                  <c:v>366.32</c:v>
                </c:pt>
                <c:pt idx="50">
                  <c:v>437.24</c:v>
                </c:pt>
                <c:pt idx="51">
                  <c:v>449.45</c:v>
                </c:pt>
                <c:pt idx="52">
                  <c:v>429.28</c:v>
                </c:pt>
                <c:pt idx="53">
                  <c:v>396.74</c:v>
                </c:pt>
                <c:pt idx="54">
                  <c:v>387.87</c:v>
                </c:pt>
                <c:pt idx="55">
                  <c:v>437.19</c:v>
                </c:pt>
                <c:pt idx="56">
                  <c:v>433.52</c:v>
                </c:pt>
                <c:pt idx="57">
                  <c:v>480.13</c:v>
                </c:pt>
                <c:pt idx="58">
                  <c:v>460.96</c:v>
                </c:pt>
                <c:pt idx="59">
                  <c:v>455.2</c:v>
                </c:pt>
                <c:pt idx="60">
                  <c:v>465.92</c:v>
                </c:pt>
                <c:pt idx="61">
                  <c:v>459.99</c:v>
                </c:pt>
                <c:pt idx="62">
                  <c:v>447.1</c:v>
                </c:pt>
                <c:pt idx="63">
                  <c:v>445.69</c:v>
                </c:pt>
                <c:pt idx="64">
                  <c:v>421.95</c:v>
                </c:pt>
                <c:pt idx="65">
                  <c:v>424.02</c:v>
                </c:pt>
                <c:pt idx="66">
                  <c:v>414.5</c:v>
                </c:pt>
                <c:pt idx="67">
                  <c:v>455.5</c:v>
                </c:pt>
                <c:pt idx="68">
                  <c:v>456.95</c:v>
                </c:pt>
                <c:pt idx="69">
                  <c:v>478.11</c:v>
                </c:pt>
                <c:pt idx="70">
                  <c:v>469.39</c:v>
                </c:pt>
                <c:pt idx="71">
                  <c:v>479.32</c:v>
                </c:pt>
                <c:pt idx="72">
                  <c:v>491.31</c:v>
                </c:pt>
                <c:pt idx="73">
                  <c:v>489.82</c:v>
                </c:pt>
                <c:pt idx="74">
                  <c:v>491.07</c:v>
                </c:pt>
                <c:pt idx="75">
                  <c:v>463.71</c:v>
                </c:pt>
                <c:pt idx="76">
                  <c:v>460.37</c:v>
                </c:pt>
                <c:pt idx="77">
                  <c:v>484.87</c:v>
                </c:pt>
                <c:pt idx="78">
                  <c:v>498.52</c:v>
                </c:pt>
                <c:pt idx="79">
                  <c:v>478.86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'[1]Preços Internos'!$C$3</c:f>
              <c:strCache>
                <c:ptCount val="1"/>
                <c:pt idx="0">
                  <c:v>Robusta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'[1]Preços Internos'!$A$4:$A$83</c:f>
              <c:numCache>
                <c:ptCount val="80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</c:numCache>
            </c:numRef>
          </c:cat>
          <c:val>
            <c:numRef>
              <c:f>'[1]Preços Internos'!$C$4:$C$83</c:f>
              <c:numCache>
                <c:ptCount val="80"/>
                <c:pt idx="0">
                  <c:v>173.51</c:v>
                </c:pt>
                <c:pt idx="1">
                  <c:v>168.47</c:v>
                </c:pt>
                <c:pt idx="2">
                  <c:v>173.67</c:v>
                </c:pt>
                <c:pt idx="3">
                  <c:v>158.22</c:v>
                </c:pt>
                <c:pt idx="4">
                  <c:v>160.51</c:v>
                </c:pt>
                <c:pt idx="5">
                  <c:v>168.17</c:v>
                </c:pt>
                <c:pt idx="6">
                  <c:v>171.5</c:v>
                </c:pt>
                <c:pt idx="7">
                  <c:v>171.44545454545457</c:v>
                </c:pt>
                <c:pt idx="8">
                  <c:v>170.03</c:v>
                </c:pt>
                <c:pt idx="9">
                  <c:v>173.81</c:v>
                </c:pt>
                <c:pt idx="10">
                  <c:v>187.14</c:v>
                </c:pt>
                <c:pt idx="11">
                  <c:v>192.83</c:v>
                </c:pt>
                <c:pt idx="12">
                  <c:v>206.21</c:v>
                </c:pt>
                <c:pt idx="13">
                  <c:v>214.32</c:v>
                </c:pt>
                <c:pt idx="14">
                  <c:v>215.81</c:v>
                </c:pt>
                <c:pt idx="15">
                  <c:v>220.82</c:v>
                </c:pt>
                <c:pt idx="16">
                  <c:v>231.69</c:v>
                </c:pt>
                <c:pt idx="17">
                  <c:v>226.82</c:v>
                </c:pt>
                <c:pt idx="18">
                  <c:v>218.48</c:v>
                </c:pt>
                <c:pt idx="19">
                  <c:v>222.01</c:v>
                </c:pt>
                <c:pt idx="20">
                  <c:v>233</c:v>
                </c:pt>
                <c:pt idx="21">
                  <c:v>244.15</c:v>
                </c:pt>
                <c:pt idx="22">
                  <c:v>269.29</c:v>
                </c:pt>
                <c:pt idx="23">
                  <c:v>297.26</c:v>
                </c:pt>
                <c:pt idx="24">
                  <c:v>296.51</c:v>
                </c:pt>
                <c:pt idx="25">
                  <c:v>270.64</c:v>
                </c:pt>
                <c:pt idx="26">
                  <c:v>255.29</c:v>
                </c:pt>
                <c:pt idx="27">
                  <c:v>248.66</c:v>
                </c:pt>
                <c:pt idx="28">
                  <c:v>253.75</c:v>
                </c:pt>
                <c:pt idx="29">
                  <c:v>252.44</c:v>
                </c:pt>
                <c:pt idx="30">
                  <c:v>275.2</c:v>
                </c:pt>
                <c:pt idx="31">
                  <c:v>276.83</c:v>
                </c:pt>
                <c:pt idx="32">
                  <c:v>287.52</c:v>
                </c:pt>
                <c:pt idx="33">
                  <c:v>283.42</c:v>
                </c:pt>
                <c:pt idx="34">
                  <c:v>266.14</c:v>
                </c:pt>
                <c:pt idx="35">
                  <c:v>256.61</c:v>
                </c:pt>
                <c:pt idx="36">
                  <c:v>267.21454545454543</c:v>
                </c:pt>
                <c:pt idx="37">
                  <c:v>264.98</c:v>
                </c:pt>
                <c:pt idx="38">
                  <c:v>253.2</c:v>
                </c:pt>
                <c:pt idx="39">
                  <c:v>250.32</c:v>
                </c:pt>
                <c:pt idx="40">
                  <c:v>250.88</c:v>
                </c:pt>
                <c:pt idx="41">
                  <c:v>245.09</c:v>
                </c:pt>
                <c:pt idx="42">
                  <c:v>248.91</c:v>
                </c:pt>
                <c:pt idx="43">
                  <c:v>253.22</c:v>
                </c:pt>
                <c:pt idx="44">
                  <c:v>236.24</c:v>
                </c:pt>
                <c:pt idx="45">
                  <c:v>205.23</c:v>
                </c:pt>
                <c:pt idx="46">
                  <c:v>198.83</c:v>
                </c:pt>
                <c:pt idx="47">
                  <c:v>223.11</c:v>
                </c:pt>
                <c:pt idx="48">
                  <c:v>226.82</c:v>
                </c:pt>
                <c:pt idx="49">
                  <c:v>243.48</c:v>
                </c:pt>
                <c:pt idx="50">
                  <c:v>263.25</c:v>
                </c:pt>
                <c:pt idx="51">
                  <c:v>256.77</c:v>
                </c:pt>
                <c:pt idx="52">
                  <c:v>245.82</c:v>
                </c:pt>
                <c:pt idx="53">
                  <c:v>235.14</c:v>
                </c:pt>
                <c:pt idx="54">
                  <c:v>242.3</c:v>
                </c:pt>
                <c:pt idx="55">
                  <c:v>248.42</c:v>
                </c:pt>
                <c:pt idx="56">
                  <c:v>250.1</c:v>
                </c:pt>
                <c:pt idx="57">
                  <c:v>264.25</c:v>
                </c:pt>
                <c:pt idx="58">
                  <c:v>277.02</c:v>
                </c:pt>
                <c:pt idx="59">
                  <c:v>275.25</c:v>
                </c:pt>
                <c:pt idx="60">
                  <c:v>283.29</c:v>
                </c:pt>
                <c:pt idx="61">
                  <c:v>299.58</c:v>
                </c:pt>
                <c:pt idx="62">
                  <c:v>303.44</c:v>
                </c:pt>
                <c:pt idx="63">
                  <c:v>295.88</c:v>
                </c:pt>
                <c:pt idx="64">
                  <c:v>290.33</c:v>
                </c:pt>
                <c:pt idx="65">
                  <c:v>301.03</c:v>
                </c:pt>
                <c:pt idx="66">
                  <c:v>307.41</c:v>
                </c:pt>
                <c:pt idx="67">
                  <c:v>324.95</c:v>
                </c:pt>
                <c:pt idx="68">
                  <c:v>340.62</c:v>
                </c:pt>
                <c:pt idx="69">
                  <c:v>363.91</c:v>
                </c:pt>
                <c:pt idx="70">
                  <c:v>375.28</c:v>
                </c:pt>
                <c:pt idx="71">
                  <c:v>378.98</c:v>
                </c:pt>
                <c:pt idx="72">
                  <c:v>389.07</c:v>
                </c:pt>
                <c:pt idx="73">
                  <c:v>393.61</c:v>
                </c:pt>
                <c:pt idx="74">
                  <c:v>363.88</c:v>
                </c:pt>
                <c:pt idx="75">
                  <c:v>379.33</c:v>
                </c:pt>
                <c:pt idx="76">
                  <c:v>386.95</c:v>
                </c:pt>
                <c:pt idx="77">
                  <c:v>391.41</c:v>
                </c:pt>
                <c:pt idx="78">
                  <c:v>409.99</c:v>
                </c:pt>
                <c:pt idx="79">
                  <c:v>422.88</c:v>
                </c:pt>
              </c:numCache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25"/>
          <c:y val="0.16625"/>
          <c:w val="0.499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2016/15</a:t>
            </a:r>
          </a:p>
        </c:rich>
      </c:tx>
      <c:layout>
        <c:manualLayout>
          <c:xMode val="factor"/>
          <c:yMode val="factor"/>
          <c:x val="-0.01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515"/>
          <c:w val="0.8197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'14.Exp. Verde'!$C$6:$C$13</c:f>
              <c:numCache/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('14.Exp. Verde'!$F$6:$F$13,'14.Exp. Verde'!$F$15:$F$18)</c:f>
              <c:numCache/>
            </c:numRef>
          </c:val>
        </c:ser>
        <c:axId val="12760839"/>
        <c:axId val="47738688"/>
      </c:barChart>
      <c:catAx>
        <c:axId val="1276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6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18275"/>
          <c:w val="0.13825"/>
          <c:h val="0.634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2016/15</a:t>
            </a:r>
          </a:p>
        </c:rich>
      </c:tx>
      <c:layout>
        <c:manualLayout>
          <c:xMode val="factor"/>
          <c:yMode val="factor"/>
          <c:x val="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265"/>
          <c:w val="0.8227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'14.Exp. Verde'!$D$6:$D$13</c:f>
              <c:numCache/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('14.Exp. Verde'!$G$6:$G$13,'14.Exp. Verde'!$G$15:$G$18)</c:f>
              <c:numCache/>
            </c:numRef>
          </c:val>
        </c:ser>
        <c:axId val="26995009"/>
        <c:axId val="41628490"/>
      </c:barChart>
      <c:cat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181"/>
          <c:w val="0.13525"/>
          <c:h val="0.6427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2016/15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9"/>
          <c:w val="0.803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'15.Exp. Solúvel'!$D$6:$D$13</c:f>
              <c:numCache/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('15.Exp. Solúvel'!$G$6:$G$13,'15.Exp. Solúvel'!$G$15:$G$18)</c:f>
              <c:numCache/>
            </c:numRef>
          </c:val>
        </c:ser>
        <c:axId val="39112091"/>
        <c:axId val="16464500"/>
      </c:bar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14025"/>
          <c:w val="0.1415"/>
          <c:h val="0.6167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2016/15</a:t>
            </a:r>
          </a:p>
        </c:rich>
      </c:tx>
      <c:layout>
        <c:manualLayout>
          <c:xMode val="factor"/>
          <c:yMode val="factor"/>
          <c:x val="0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0225"/>
          <c:w val="0.81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'15.Exp. Solúvel'!$C$6:$C$13</c:f>
              <c:numCache/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('15.Exp. Solúvel'!$F$6:$F$13,'15.Exp. Solúvel'!$F$15:$F$18)</c:f>
              <c:numCache/>
            </c:numRef>
          </c:val>
        </c:ser>
        <c:axId val="13962773"/>
        <c:axId val="58556094"/>
      </c:barChart>
      <c:cat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4625"/>
          <c:w val="0.13875"/>
          <c:h val="0.6792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2016/15</a:t>
            </a:r>
          </a:p>
        </c:rich>
      </c:tx>
      <c:layout>
        <c:manualLayout>
          <c:xMode val="factor"/>
          <c:yMode val="factor"/>
          <c:x val="0.005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57"/>
          <c:w val="0.799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'16.Exp. Torrado'!$C$6:$C$13</c:f>
              <c:numCache/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('16.Exp. Torrado'!$F$6:$F$13,'16.Exp. Torrado'!$F$15:$F$18)</c:f>
              <c:numCache/>
            </c:numRef>
          </c:val>
        </c:ser>
        <c:axId val="57242799"/>
        <c:axId val="45423144"/>
      </c:barChart>
      <c:cat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2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18875"/>
          <c:w val="0.1385"/>
          <c:h val="0.63675"/>
        </c:manualLayout>
      </c:layout>
      <c:overlay val="0"/>
      <c:spPr>
        <a:solidFill>
          <a:srgbClr val="FFFFFF"/>
        </a:solidFill>
        <a:ln w="25400">
          <a:solidFill>
            <a:srgbClr val="9933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3248025</xdr:colOff>
      <xdr:row>6</xdr:row>
      <xdr:rowOff>190500</xdr:rowOff>
    </xdr:from>
    <xdr:to>
      <xdr:col>1</xdr:col>
      <xdr:colOff>5200650</xdr:colOff>
      <xdr:row>18</xdr:row>
      <xdr:rowOff>57150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466850"/>
          <a:ext cx="19526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200025</xdr:rowOff>
    </xdr:from>
    <xdr:to>
      <xdr:col>16</xdr:col>
      <xdr:colOff>476250</xdr:colOff>
      <xdr:row>19</xdr:row>
      <xdr:rowOff>238125</xdr:rowOff>
    </xdr:to>
    <xdr:graphicFrame>
      <xdr:nvGraphicFramePr>
        <xdr:cNvPr id="1" name="Gráfico 8"/>
        <xdr:cNvGraphicFramePr/>
      </xdr:nvGraphicFramePr>
      <xdr:xfrm>
        <a:off x="371475" y="428625"/>
        <a:ext cx="82296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76200</xdr:rowOff>
    </xdr:from>
    <xdr:to>
      <xdr:col>2</xdr:col>
      <xdr:colOff>581025</xdr:colOff>
      <xdr:row>3</xdr:row>
      <xdr:rowOff>38100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0480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1</xdr:row>
      <xdr:rowOff>200025</xdr:rowOff>
    </xdr:from>
    <xdr:to>
      <xdr:col>9</xdr:col>
      <xdr:colOff>523875</xdr:colOff>
      <xdr:row>3</xdr:row>
      <xdr:rowOff>219075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39052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2</xdr:row>
      <xdr:rowOff>200025</xdr:rowOff>
    </xdr:from>
    <xdr:to>
      <xdr:col>12</xdr:col>
      <xdr:colOff>0</xdr:colOff>
      <xdr:row>6</xdr:row>
      <xdr:rowOff>28575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38175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21</xdr:row>
      <xdr:rowOff>104775</xdr:rowOff>
    </xdr:from>
    <xdr:to>
      <xdr:col>6</xdr:col>
      <xdr:colOff>342900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419100" y="3657600"/>
        <a:ext cx="39433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21</xdr:row>
      <xdr:rowOff>104775</xdr:rowOff>
    </xdr:from>
    <xdr:to>
      <xdr:col>11</xdr:col>
      <xdr:colOff>752475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4562475" y="3657600"/>
        <a:ext cx="39624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4343400" y="3638550"/>
        <a:ext cx="39243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21</xdr:row>
      <xdr:rowOff>76200</xdr:rowOff>
    </xdr:from>
    <xdr:to>
      <xdr:col>6</xdr:col>
      <xdr:colOff>371475</xdr:colOff>
      <xdr:row>32</xdr:row>
      <xdr:rowOff>85725</xdr:rowOff>
    </xdr:to>
    <xdr:graphicFrame>
      <xdr:nvGraphicFramePr>
        <xdr:cNvPr id="2" name="Chart 1"/>
        <xdr:cNvGraphicFramePr/>
      </xdr:nvGraphicFramePr>
      <xdr:xfrm>
        <a:off x="447675" y="3648075"/>
        <a:ext cx="37242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66675</xdr:rowOff>
    </xdr:from>
    <xdr:to>
      <xdr:col>6</xdr:col>
      <xdr:colOff>304800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352425" y="3629025"/>
        <a:ext cx="35909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4181475" y="3629025"/>
        <a:ext cx="39243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66675</xdr:rowOff>
    </xdr:from>
    <xdr:to>
      <xdr:col>6</xdr:col>
      <xdr:colOff>304800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352425" y="3667125"/>
        <a:ext cx="40290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4619625" y="3667125"/>
        <a:ext cx="39243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66675</xdr:rowOff>
    </xdr:from>
    <xdr:to>
      <xdr:col>9</xdr:col>
      <xdr:colOff>0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352425" y="3705225"/>
        <a:ext cx="41719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21</xdr:row>
      <xdr:rowOff>66675</xdr:rowOff>
    </xdr:from>
    <xdr:to>
      <xdr:col>16</xdr:col>
      <xdr:colOff>209550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4648200" y="3705225"/>
        <a:ext cx="40862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0.01975</cdr:y>
    </cdr:from>
    <cdr:to>
      <cdr:x>0.788</cdr:x>
      <cdr:y>0.1245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657350" y="47625"/>
          <a:ext cx="3295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Evolução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Produção de Café Arábica, Conilon e Total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milhões de sacas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3248025</xdr:colOff>
      <xdr:row>7</xdr:row>
      <xdr:rowOff>190500</xdr:rowOff>
    </xdr:from>
    <xdr:to>
      <xdr:col>1</xdr:col>
      <xdr:colOff>3248025</xdr:colOff>
      <xdr:row>18</xdr:row>
      <xdr:rowOff>28575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600200"/>
          <a:ext cx="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190500</xdr:colOff>
      <xdr:row>27</xdr:row>
      <xdr:rowOff>142875</xdr:rowOff>
    </xdr:to>
    <xdr:graphicFrame>
      <xdr:nvGraphicFramePr>
        <xdr:cNvPr id="1" name="Gráfico 8"/>
        <xdr:cNvGraphicFramePr/>
      </xdr:nvGraphicFramePr>
      <xdr:xfrm>
        <a:off x="0" y="1895475"/>
        <a:ext cx="6286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7</xdr:row>
      <xdr:rowOff>190500</xdr:rowOff>
    </xdr:from>
    <xdr:to>
      <xdr:col>2</xdr:col>
      <xdr:colOff>3248025</xdr:colOff>
      <xdr:row>19</xdr:row>
      <xdr:rowOff>19050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476375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8</xdr:row>
      <xdr:rowOff>190500</xdr:rowOff>
    </xdr:from>
    <xdr:to>
      <xdr:col>1</xdr:col>
      <xdr:colOff>714375</xdr:colOff>
      <xdr:row>20</xdr:row>
      <xdr:rowOff>19050</xdr:rowOff>
    </xdr:to>
    <xdr:pic>
      <xdr:nvPicPr>
        <xdr:cNvPr id="2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66875"/>
          <a:ext cx="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1</xdr:row>
      <xdr:rowOff>123825</xdr:rowOff>
    </xdr:from>
    <xdr:to>
      <xdr:col>19</xdr:col>
      <xdr:colOff>95250</xdr:colOff>
      <xdr:row>5</xdr:row>
      <xdr:rowOff>66675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3333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828675</xdr:colOff>
      <xdr:row>2</xdr:row>
      <xdr:rowOff>0</xdr:rowOff>
    </xdr:from>
    <xdr:to>
      <xdr:col>10</xdr:col>
      <xdr:colOff>28575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571500"/>
          <a:ext cx="1162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276225</xdr:rowOff>
    </xdr:from>
    <xdr:to>
      <xdr:col>2</xdr:col>
      <xdr:colOff>647700</xdr:colOff>
      <xdr:row>4</xdr:row>
      <xdr:rowOff>133350</xdr:rowOff>
    </xdr:to>
    <xdr:pic>
      <xdr:nvPicPr>
        <xdr:cNvPr id="2" name="Picture 8" descr="LOGO CAFÉ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5048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0.02875</cdr:y>
    </cdr:from>
    <cdr:to>
      <cdr:x>0.78625</cdr:x>
      <cdr:y>0.135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190750" y="142875"/>
          <a:ext cx="4343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Evolução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Produção de Café Arábica, Conilon e Total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milhões de sacas</a:t>
          </a:r>
        </a:p>
      </cdr:txBody>
    </cdr:sp>
  </cdr:relSizeAnchor>
  <cdr:relSizeAnchor xmlns:cdr="http://schemas.openxmlformats.org/drawingml/2006/chartDrawing">
    <cdr:from>
      <cdr:x>0.4445</cdr:x>
      <cdr:y>0.11</cdr:y>
    </cdr:from>
    <cdr:to>
      <cdr:x>0.5855</cdr:x>
      <cdr:y>0.20025</cdr:y>
    </cdr:to>
    <cdr:pic>
      <cdr:nvPicPr>
        <cdr:cNvPr id="2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95700" y="561975"/>
          <a:ext cx="1171575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200025</xdr:rowOff>
    </xdr:from>
    <xdr:to>
      <xdr:col>0</xdr:col>
      <xdr:colOff>0</xdr:colOff>
      <xdr:row>16</xdr:row>
      <xdr:rowOff>66675</xdr:rowOff>
    </xdr:to>
    <xdr:pic>
      <xdr:nvPicPr>
        <xdr:cNvPr id="1" name="Picture 8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</xdr:row>
      <xdr:rowOff>180975</xdr:rowOff>
    </xdr:from>
    <xdr:to>
      <xdr:col>13</xdr:col>
      <xdr:colOff>457200</xdr:colOff>
      <xdr:row>21</xdr:row>
      <xdr:rowOff>28575</xdr:rowOff>
    </xdr:to>
    <xdr:graphicFrame>
      <xdr:nvGraphicFramePr>
        <xdr:cNvPr id="2" name="Gráfico 8"/>
        <xdr:cNvGraphicFramePr/>
      </xdr:nvGraphicFramePr>
      <xdr:xfrm>
        <a:off x="361950" y="409575"/>
        <a:ext cx="83153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19</xdr:row>
      <xdr:rowOff>66675</xdr:rowOff>
    </xdr:from>
    <xdr:to>
      <xdr:col>5</xdr:col>
      <xdr:colOff>209550</xdr:colOff>
      <xdr:row>20</xdr:row>
      <xdr:rowOff>9525</xdr:rowOff>
    </xdr:to>
    <xdr:sp>
      <xdr:nvSpPr>
        <xdr:cNvPr id="3" name="CaixaDeTexto 6"/>
        <xdr:cNvSpPr txBox="1">
          <a:spLocks noChangeArrowheads="1"/>
        </xdr:cNvSpPr>
      </xdr:nvSpPr>
      <xdr:spPr>
        <a:xfrm>
          <a:off x="885825" y="5095875"/>
          <a:ext cx="20383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 ou BAIXA =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bienalidade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114300</xdr:rowOff>
    </xdr:from>
    <xdr:to>
      <xdr:col>1</xdr:col>
      <xdr:colOff>790575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 rot="5400000">
          <a:off x="228600" y="1666875"/>
          <a:ext cx="742950" cy="390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53881" dir="2700000" algn="ctr">
                  <a:srgbClr val="CBCBCB">
                    <a:alpha val="100000"/>
                  </a:srgbClr>
                </a:outerShdw>
              </a:effectLst>
              <a:latin typeface="Times New Roman"/>
              <a:cs typeface="Times New Roman"/>
            </a:rPr>
            <a:t>C A F É</a:t>
          </a:r>
        </a:p>
      </xdr:txBody>
    </xdr:sp>
    <xdr:clientData/>
  </xdr:twoCellAnchor>
  <xdr:twoCellAnchor>
    <xdr:from>
      <xdr:col>1</xdr:col>
      <xdr:colOff>276225</xdr:colOff>
      <xdr:row>1</xdr:row>
      <xdr:rowOff>76200</xdr:rowOff>
    </xdr:from>
    <xdr:to>
      <xdr:col>7</xdr:col>
      <xdr:colOff>409575</xdr:colOff>
      <xdr:row>2</xdr:row>
      <xdr:rowOff>142875</xdr:rowOff>
    </xdr:to>
    <xdr:sp>
      <xdr:nvSpPr>
        <xdr:cNvPr id="2" name="WordArt 2"/>
        <xdr:cNvSpPr>
          <a:spLocks/>
        </xdr:cNvSpPr>
      </xdr:nvSpPr>
      <xdr:spPr>
        <a:xfrm>
          <a:off x="457200" y="285750"/>
          <a:ext cx="43529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ACOMPANHAMENTO SEMANAL DE PREÇOS</a:t>
          </a:r>
        </a:p>
      </xdr:txBody>
    </xdr:sp>
    <xdr:clientData/>
  </xdr:twoCellAnchor>
  <xdr:twoCellAnchor>
    <xdr:from>
      <xdr:col>8</xdr:col>
      <xdr:colOff>152400</xdr:colOff>
      <xdr:row>1</xdr:row>
      <xdr:rowOff>9525</xdr:rowOff>
    </xdr:from>
    <xdr:to>
      <xdr:col>10</xdr:col>
      <xdr:colOff>1209675</xdr:colOff>
      <xdr:row>12</xdr:row>
      <xdr:rowOff>152400</xdr:rowOff>
    </xdr:to>
    <xdr:graphicFrame>
      <xdr:nvGraphicFramePr>
        <xdr:cNvPr id="3" name="Chart 5"/>
        <xdr:cNvGraphicFramePr/>
      </xdr:nvGraphicFramePr>
      <xdr:xfrm>
        <a:off x="5448300" y="219075"/>
        <a:ext cx="3486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13</xdr:row>
      <xdr:rowOff>152400</xdr:rowOff>
    </xdr:from>
    <xdr:to>
      <xdr:col>10</xdr:col>
      <xdr:colOff>1238250</xdr:colOff>
      <xdr:row>24</xdr:row>
      <xdr:rowOff>19050</xdr:rowOff>
    </xdr:to>
    <xdr:graphicFrame>
      <xdr:nvGraphicFramePr>
        <xdr:cNvPr id="4" name="Chart 5"/>
        <xdr:cNvGraphicFramePr/>
      </xdr:nvGraphicFramePr>
      <xdr:xfrm>
        <a:off x="5438775" y="3190875"/>
        <a:ext cx="35242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0.01825</cdr:y>
    </cdr:from>
    <cdr:to>
      <cdr:x>0.8085</cdr:x>
      <cdr:y>0.143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733550" y="85725"/>
          <a:ext cx="49149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Evolução Mensal dos Preços Internos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 Café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R$ por saca  - 2010 a  08/2016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TON%20CAMARGO%20-%20CAF&#201;\ARQUIVOS%20DE%20TRABALHO%20-%20Novo\Pre&#231;os\COTA&#199;&#195;O-CEPEA-ESALQ%20-%201997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-Arbitragem"/>
      <sheetName val="Dados-Mensal"/>
      <sheetName val="Preços-CEPEA"/>
      <sheetName val="Preços Internos"/>
      <sheetName val="Plan1"/>
    </sheetNames>
    <sheetDataSet>
      <sheetData sheetId="3">
        <row r="3">
          <cell r="B3" t="str">
            <v>Arábica</v>
          </cell>
          <cell r="C3" t="str">
            <v>Robusta</v>
          </cell>
        </row>
        <row r="4">
          <cell r="A4">
            <v>2010</v>
          </cell>
          <cell r="B4">
            <v>280.75</v>
          </cell>
          <cell r="C4">
            <v>173.51</v>
          </cell>
        </row>
        <row r="5">
          <cell r="B5">
            <v>278.68</v>
          </cell>
          <cell r="C5">
            <v>168.47</v>
          </cell>
        </row>
        <row r="6">
          <cell r="B6">
            <v>279.7</v>
          </cell>
          <cell r="C6">
            <v>173.67</v>
          </cell>
        </row>
        <row r="7">
          <cell r="B7">
            <v>282.17</v>
          </cell>
          <cell r="C7">
            <v>158.22</v>
          </cell>
        </row>
        <row r="8">
          <cell r="B8">
            <v>289.46</v>
          </cell>
          <cell r="C8">
            <v>160.51</v>
          </cell>
        </row>
        <row r="9">
          <cell r="B9">
            <v>305.99</v>
          </cell>
          <cell r="C9">
            <v>168.17</v>
          </cell>
        </row>
        <row r="10">
          <cell r="B10">
            <v>302.36</v>
          </cell>
          <cell r="C10">
            <v>171.5</v>
          </cell>
        </row>
        <row r="11">
          <cell r="B11">
            <v>313.93318181818177</v>
          </cell>
          <cell r="C11">
            <v>171.44545454545457</v>
          </cell>
        </row>
        <row r="12">
          <cell r="B12">
            <v>328.23</v>
          </cell>
          <cell r="C12">
            <v>170.03</v>
          </cell>
        </row>
        <row r="13">
          <cell r="B13">
            <v>327.15</v>
          </cell>
          <cell r="C13">
            <v>173.81</v>
          </cell>
        </row>
        <row r="14">
          <cell r="B14">
            <v>355.51</v>
          </cell>
          <cell r="C14">
            <v>187.14</v>
          </cell>
        </row>
        <row r="15">
          <cell r="B15">
            <v>387.01</v>
          </cell>
          <cell r="C15">
            <v>192.83</v>
          </cell>
        </row>
        <row r="16">
          <cell r="A16">
            <v>2011</v>
          </cell>
          <cell r="B16">
            <v>433.34</v>
          </cell>
          <cell r="C16">
            <v>206.21</v>
          </cell>
        </row>
        <row r="17">
          <cell r="B17">
            <v>495.98</v>
          </cell>
          <cell r="C17">
            <v>214.32</v>
          </cell>
        </row>
        <row r="18">
          <cell r="B18">
            <v>524.27</v>
          </cell>
          <cell r="C18">
            <v>215.81</v>
          </cell>
        </row>
        <row r="19">
          <cell r="B19">
            <v>524.41</v>
          </cell>
          <cell r="C19">
            <v>220.82</v>
          </cell>
        </row>
        <row r="20">
          <cell r="B20">
            <v>530.76</v>
          </cell>
          <cell r="C20">
            <v>231.69</v>
          </cell>
        </row>
        <row r="21">
          <cell r="B21">
            <v>515.01</v>
          </cell>
          <cell r="C21">
            <v>226.82</v>
          </cell>
        </row>
        <row r="22">
          <cell r="B22">
            <v>457.81</v>
          </cell>
          <cell r="C22">
            <v>218.48</v>
          </cell>
        </row>
        <row r="23">
          <cell r="B23">
            <v>470.62</v>
          </cell>
          <cell r="C23">
            <v>222.01</v>
          </cell>
        </row>
        <row r="24">
          <cell r="B24">
            <v>511.57</v>
          </cell>
          <cell r="C24">
            <v>233</v>
          </cell>
        </row>
        <row r="25">
          <cell r="B25">
            <v>490.45</v>
          </cell>
          <cell r="C25">
            <v>244.15</v>
          </cell>
        </row>
        <row r="26">
          <cell r="B26">
            <v>493.83</v>
          </cell>
          <cell r="C26">
            <v>269.29</v>
          </cell>
        </row>
        <row r="27">
          <cell r="B27">
            <v>491.35</v>
          </cell>
          <cell r="C27">
            <v>297.26</v>
          </cell>
        </row>
        <row r="28">
          <cell r="A28">
            <v>2012</v>
          </cell>
          <cell r="B28">
            <v>485.04</v>
          </cell>
          <cell r="C28">
            <v>296.51</v>
          </cell>
        </row>
        <row r="29">
          <cell r="B29">
            <v>441.31</v>
          </cell>
          <cell r="C29">
            <v>270.64</v>
          </cell>
        </row>
        <row r="30">
          <cell r="B30">
            <v>387.49</v>
          </cell>
          <cell r="C30">
            <v>255.29</v>
          </cell>
        </row>
        <row r="31">
          <cell r="B31">
            <v>379.53</v>
          </cell>
          <cell r="C31">
            <v>248.66</v>
          </cell>
        </row>
        <row r="32">
          <cell r="B32">
            <v>382.65</v>
          </cell>
          <cell r="C32">
            <v>253.75</v>
          </cell>
        </row>
        <row r="33">
          <cell r="B33">
            <v>360.31</v>
          </cell>
          <cell r="C33">
            <v>252.44</v>
          </cell>
        </row>
        <row r="34">
          <cell r="B34">
            <v>408.06</v>
          </cell>
          <cell r="C34">
            <v>275.2</v>
          </cell>
        </row>
        <row r="35">
          <cell r="B35">
            <v>378.48</v>
          </cell>
          <cell r="C35">
            <v>276.83</v>
          </cell>
        </row>
        <row r="36">
          <cell r="B36">
            <v>385.92</v>
          </cell>
          <cell r="C36">
            <v>287.52</v>
          </cell>
        </row>
        <row r="37">
          <cell r="B37">
            <v>374.98</v>
          </cell>
          <cell r="C37">
            <v>283.42</v>
          </cell>
        </row>
        <row r="38">
          <cell r="B38">
            <v>355.23</v>
          </cell>
          <cell r="C38">
            <v>266.14</v>
          </cell>
        </row>
        <row r="39">
          <cell r="B39">
            <v>341.4</v>
          </cell>
          <cell r="C39">
            <v>256.61</v>
          </cell>
        </row>
        <row r="40">
          <cell r="A40">
            <v>2013</v>
          </cell>
          <cell r="B40">
            <v>341.16</v>
          </cell>
          <cell r="C40">
            <v>267.21454545454543</v>
          </cell>
        </row>
        <row r="41">
          <cell r="B41">
            <v>317.72</v>
          </cell>
          <cell r="C41">
            <v>264.98</v>
          </cell>
        </row>
        <row r="42">
          <cell r="B42">
            <v>303.42</v>
          </cell>
          <cell r="C42">
            <v>253.2</v>
          </cell>
        </row>
        <row r="43">
          <cell r="B43">
            <v>300.51</v>
          </cell>
          <cell r="C43">
            <v>250.32</v>
          </cell>
        </row>
        <row r="44">
          <cell r="B44">
            <v>297.25</v>
          </cell>
          <cell r="C44">
            <v>250.88</v>
          </cell>
        </row>
        <row r="45">
          <cell r="B45">
            <v>285.71</v>
          </cell>
          <cell r="C45">
            <v>245.09</v>
          </cell>
        </row>
        <row r="46">
          <cell r="B46">
            <v>287.57</v>
          </cell>
          <cell r="C46">
            <v>248.91</v>
          </cell>
        </row>
        <row r="47">
          <cell r="B47">
            <v>286.17</v>
          </cell>
          <cell r="C47">
            <v>253.22</v>
          </cell>
        </row>
        <row r="48">
          <cell r="B48">
            <v>273.9</v>
          </cell>
          <cell r="C48">
            <v>236.24</v>
          </cell>
        </row>
        <row r="49">
          <cell r="B49">
            <v>253.94</v>
          </cell>
          <cell r="C49">
            <v>205.23</v>
          </cell>
        </row>
        <row r="50">
          <cell r="B50">
            <v>247.73</v>
          </cell>
          <cell r="C50">
            <v>198.83</v>
          </cell>
        </row>
        <row r="51">
          <cell r="B51">
            <v>272.1</v>
          </cell>
          <cell r="C51">
            <v>223.11</v>
          </cell>
        </row>
        <row r="52">
          <cell r="A52">
            <v>2014</v>
          </cell>
          <cell r="B52">
            <v>289.44</v>
          </cell>
          <cell r="C52">
            <v>226.82</v>
          </cell>
        </row>
        <row r="53">
          <cell r="B53">
            <v>366.32</v>
          </cell>
          <cell r="C53">
            <v>243.48</v>
          </cell>
        </row>
        <row r="54">
          <cell r="B54">
            <v>437.24</v>
          </cell>
          <cell r="C54">
            <v>263.25</v>
          </cell>
        </row>
        <row r="55">
          <cell r="B55">
            <v>449.45</v>
          </cell>
          <cell r="C55">
            <v>256.77</v>
          </cell>
        </row>
        <row r="56">
          <cell r="B56">
            <v>429.28</v>
          </cell>
          <cell r="C56">
            <v>245.82</v>
          </cell>
        </row>
        <row r="57">
          <cell r="B57">
            <v>396.74</v>
          </cell>
          <cell r="C57">
            <v>235.14</v>
          </cell>
        </row>
        <row r="58">
          <cell r="B58">
            <v>387.87</v>
          </cell>
          <cell r="C58">
            <v>242.3</v>
          </cell>
        </row>
        <row r="59">
          <cell r="B59">
            <v>437.19</v>
          </cell>
          <cell r="C59">
            <v>248.42</v>
          </cell>
        </row>
        <row r="60">
          <cell r="B60">
            <v>433.52</v>
          </cell>
          <cell r="C60">
            <v>250.1</v>
          </cell>
        </row>
        <row r="61">
          <cell r="B61">
            <v>480.13</v>
          </cell>
          <cell r="C61">
            <v>264.25</v>
          </cell>
        </row>
        <row r="62">
          <cell r="B62">
            <v>460.96</v>
          </cell>
          <cell r="C62">
            <v>277.02</v>
          </cell>
        </row>
        <row r="63">
          <cell r="B63">
            <v>455.2</v>
          </cell>
          <cell r="C63">
            <v>275.25</v>
          </cell>
        </row>
        <row r="64">
          <cell r="A64">
            <v>2015</v>
          </cell>
          <cell r="B64">
            <v>465.92</v>
          </cell>
          <cell r="C64">
            <v>283.29</v>
          </cell>
        </row>
        <row r="65">
          <cell r="B65">
            <v>459.99</v>
          </cell>
          <cell r="C65">
            <v>299.58</v>
          </cell>
        </row>
        <row r="66">
          <cell r="B66">
            <v>447.1</v>
          </cell>
          <cell r="C66">
            <v>303.44</v>
          </cell>
        </row>
        <row r="67">
          <cell r="B67">
            <v>445.69</v>
          </cell>
          <cell r="C67">
            <v>295.88</v>
          </cell>
        </row>
        <row r="68">
          <cell r="B68">
            <v>421.95</v>
          </cell>
          <cell r="C68">
            <v>290.33</v>
          </cell>
        </row>
        <row r="69">
          <cell r="B69">
            <v>424.02</v>
          </cell>
          <cell r="C69">
            <v>301.03</v>
          </cell>
        </row>
        <row r="70">
          <cell r="B70">
            <v>414.5</v>
          </cell>
          <cell r="C70">
            <v>307.41</v>
          </cell>
        </row>
        <row r="71">
          <cell r="B71">
            <v>455.5</v>
          </cell>
          <cell r="C71">
            <v>324.95</v>
          </cell>
        </row>
        <row r="72">
          <cell r="B72">
            <v>456.95</v>
          </cell>
          <cell r="C72">
            <v>340.62</v>
          </cell>
        </row>
        <row r="73">
          <cell r="B73">
            <v>478.11</v>
          </cell>
          <cell r="C73">
            <v>363.91</v>
          </cell>
        </row>
        <row r="74">
          <cell r="B74">
            <v>469.39</v>
          </cell>
          <cell r="C74">
            <v>375.28</v>
          </cell>
        </row>
        <row r="75">
          <cell r="B75">
            <v>479.32</v>
          </cell>
          <cell r="C75">
            <v>378.98</v>
          </cell>
        </row>
        <row r="76">
          <cell r="A76">
            <v>2016</v>
          </cell>
          <cell r="B76">
            <v>491.31</v>
          </cell>
          <cell r="C76">
            <v>389.07</v>
          </cell>
        </row>
        <row r="77">
          <cell r="B77">
            <v>489.82</v>
          </cell>
          <cell r="C77">
            <v>393.61</v>
          </cell>
        </row>
        <row r="78">
          <cell r="B78">
            <v>491.07</v>
          </cell>
          <cell r="C78">
            <v>363.88</v>
          </cell>
        </row>
        <row r="79">
          <cell r="B79">
            <v>463.71</v>
          </cell>
          <cell r="C79">
            <v>379.33</v>
          </cell>
        </row>
        <row r="80">
          <cell r="B80">
            <v>460.37</v>
          </cell>
          <cell r="C80">
            <v>386.95</v>
          </cell>
        </row>
        <row r="81">
          <cell r="B81">
            <v>484.87</v>
          </cell>
          <cell r="C81">
            <v>391.41</v>
          </cell>
        </row>
        <row r="82">
          <cell r="B82">
            <v>498.52</v>
          </cell>
          <cell r="C82">
            <v>409.99</v>
          </cell>
        </row>
        <row r="83">
          <cell r="B83">
            <v>478.86</v>
          </cell>
          <cell r="C83">
            <v>422.88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vegetal/estatisticas" TargetMode="External" /><Relationship Id="rId2" Type="http://schemas.openxmlformats.org/officeDocument/2006/relationships/hyperlink" Target="mailto:airton.camargo@agricultura.gov.b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2.7109375" style="0" customWidth="1"/>
    <col min="2" max="2" width="126.421875" style="0" customWidth="1"/>
    <col min="3" max="3" width="2.7109375" style="0" customWidth="1"/>
    <col min="4" max="4" width="8.8515625" style="0" bestFit="1" customWidth="1"/>
  </cols>
  <sheetData>
    <row r="1" spans="1:3" ht="16.5" customHeight="1">
      <c r="A1" s="56"/>
      <c r="B1" s="278"/>
      <c r="C1" s="56"/>
    </row>
    <row r="2" spans="1:3" ht="18" customHeight="1">
      <c r="A2" s="58"/>
      <c r="B2" s="363"/>
      <c r="C2" s="57"/>
    </row>
    <row r="3" spans="1:3" ht="16.5" customHeight="1">
      <c r="A3" s="58"/>
      <c r="B3" s="364"/>
      <c r="C3" s="57"/>
    </row>
    <row r="4" spans="1:3" ht="16.5" customHeight="1">
      <c r="A4" s="58"/>
      <c r="B4" s="364" t="s">
        <v>319</v>
      </c>
      <c r="C4" s="57"/>
    </row>
    <row r="5" spans="1:3" ht="16.5" customHeight="1">
      <c r="A5" s="58"/>
      <c r="B5" s="364" t="s">
        <v>309</v>
      </c>
      <c r="C5" s="57"/>
    </row>
    <row r="6" spans="1:3" ht="16.5" customHeight="1">
      <c r="A6" s="58"/>
      <c r="B6" s="364" t="s">
        <v>547</v>
      </c>
      <c r="C6" s="57"/>
    </row>
    <row r="7" spans="1:3" ht="16.5" customHeight="1">
      <c r="A7" s="58"/>
      <c r="B7" s="364"/>
      <c r="C7" s="57"/>
    </row>
    <row r="8" spans="1:3" ht="16.5" customHeight="1">
      <c r="A8" s="58"/>
      <c r="B8" s="364"/>
      <c r="C8" s="57"/>
    </row>
    <row r="9" spans="1:3" ht="16.5" customHeight="1">
      <c r="A9" s="58"/>
      <c r="B9" s="364"/>
      <c r="C9" s="57"/>
    </row>
    <row r="10" spans="1:3" ht="16.5" customHeight="1">
      <c r="A10" s="58"/>
      <c r="B10" s="364"/>
      <c r="C10" s="57"/>
    </row>
    <row r="11" spans="1:3" ht="16.5" customHeight="1">
      <c r="A11" s="58"/>
      <c r="B11" s="364"/>
      <c r="C11" s="57"/>
    </row>
    <row r="12" spans="1:3" ht="16.5" customHeight="1">
      <c r="A12" s="58"/>
      <c r="B12" s="364"/>
      <c r="C12" s="57"/>
    </row>
    <row r="13" spans="1:3" ht="16.5" customHeight="1">
      <c r="A13" s="58"/>
      <c r="B13" s="364"/>
      <c r="C13" s="57"/>
    </row>
    <row r="14" spans="1:3" ht="16.5" customHeight="1">
      <c r="A14" s="58"/>
      <c r="B14" s="364"/>
      <c r="C14" s="57"/>
    </row>
    <row r="15" spans="1:3" ht="16.5" customHeight="1">
      <c r="A15" s="58"/>
      <c r="B15" s="364"/>
      <c r="C15" s="57"/>
    </row>
    <row r="16" spans="1:3" ht="16.5" customHeight="1">
      <c r="A16" s="58"/>
      <c r="B16" s="364"/>
      <c r="C16" s="57"/>
    </row>
    <row r="17" spans="1:3" ht="16.5" customHeight="1">
      <c r="A17" s="58"/>
      <c r="B17" s="364"/>
      <c r="C17" s="57"/>
    </row>
    <row r="18" spans="1:3" ht="16.5" customHeight="1">
      <c r="A18" s="58"/>
      <c r="B18" s="364"/>
      <c r="C18" s="57"/>
    </row>
    <row r="19" spans="1:3" ht="16.5" customHeight="1">
      <c r="A19" s="58"/>
      <c r="B19" s="364"/>
      <c r="C19" s="57"/>
    </row>
    <row r="20" spans="1:3" ht="16.5" customHeight="1">
      <c r="A20" s="58"/>
      <c r="B20" s="1327" t="s">
        <v>478</v>
      </c>
      <c r="C20" s="57"/>
    </row>
    <row r="21" spans="1:3" ht="16.5" customHeight="1">
      <c r="A21" s="58"/>
      <c r="B21" s="1327"/>
      <c r="C21" s="57"/>
    </row>
    <row r="22" spans="1:3" ht="16.5" customHeight="1">
      <c r="A22" s="58"/>
      <c r="B22" s="364"/>
      <c r="C22" s="57"/>
    </row>
    <row r="23" spans="1:3" ht="16.5" customHeight="1">
      <c r="A23" s="58"/>
      <c r="B23" s="364" t="s">
        <v>578</v>
      </c>
      <c r="C23" s="57"/>
    </row>
    <row r="24" spans="1:3" ht="16.5" customHeight="1">
      <c r="A24" s="58"/>
      <c r="B24" s="364"/>
      <c r="C24" s="57"/>
    </row>
    <row r="25" spans="1:3" ht="16.5" customHeight="1">
      <c r="A25" s="58"/>
      <c r="B25" s="364"/>
      <c r="C25" s="57"/>
    </row>
    <row r="26" spans="1:3" ht="16.5" customHeight="1">
      <c r="A26" s="58"/>
      <c r="B26" s="365" t="s">
        <v>555</v>
      </c>
      <c r="C26" s="58"/>
    </row>
    <row r="27" spans="1:4" ht="16.5" customHeight="1">
      <c r="A27" s="57"/>
      <c r="B27" s="57"/>
      <c r="C27" s="57"/>
      <c r="D27" s="51"/>
    </row>
    <row r="28" ht="15">
      <c r="D28" s="51"/>
    </row>
    <row r="29" ht="15">
      <c r="D29" s="51"/>
    </row>
    <row r="30" ht="15">
      <c r="D30" s="51"/>
    </row>
    <row r="31" ht="15">
      <c r="D31" s="51"/>
    </row>
  </sheetData>
  <sheetProtection/>
  <mergeCells count="1">
    <mergeCell ref="B20:B21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" width="2.7109375" style="0" customWidth="1"/>
    <col min="2" max="2" width="12.57421875" style="0" customWidth="1"/>
    <col min="3" max="3" width="11.7109375" style="0" customWidth="1"/>
    <col min="4" max="4" width="11.28125" style="0" bestFit="1" customWidth="1"/>
    <col min="5" max="5" width="9.7109375" style="0" customWidth="1"/>
    <col min="6" max="6" width="8.57421875" style="0" bestFit="1" customWidth="1"/>
    <col min="7" max="7" width="9.421875" style="0" bestFit="1" customWidth="1"/>
    <col min="8" max="8" width="13.421875" style="0" customWidth="1"/>
    <col min="9" max="9" width="14.7109375" style="0" customWidth="1"/>
    <col min="10" max="10" width="21.7109375" style="0" customWidth="1"/>
    <col min="11" max="11" width="21.28125" style="0" customWidth="1"/>
    <col min="13" max="13" width="10.140625" style="0" bestFit="1" customWidth="1"/>
  </cols>
  <sheetData>
    <row r="1" spans="1:11" ht="16.5" customHeight="1">
      <c r="A1" s="1334" t="s">
        <v>408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</row>
    <row r="2" spans="1:11" ht="15" customHeight="1">
      <c r="A2" s="57"/>
      <c r="B2" s="63"/>
      <c r="C2" s="218"/>
      <c r="D2" s="218"/>
      <c r="E2" s="218"/>
      <c r="F2" s="218"/>
      <c r="G2" s="218"/>
      <c r="H2" s="64"/>
      <c r="I2" s="59"/>
      <c r="J2" s="59"/>
      <c r="K2" s="59"/>
    </row>
    <row r="3" spans="1:11" ht="12.75" customHeight="1">
      <c r="A3" s="57"/>
      <c r="B3" s="65"/>
      <c r="C3" s="66"/>
      <c r="D3" s="66"/>
      <c r="E3" s="66"/>
      <c r="F3" s="66"/>
      <c r="G3" s="66"/>
      <c r="H3" s="67"/>
      <c r="I3" s="59"/>
      <c r="J3" s="59"/>
      <c r="K3" s="59"/>
    </row>
    <row r="4" spans="1:11" ht="19.5" customHeight="1">
      <c r="A4" s="57"/>
      <c r="B4" s="1378" t="s">
        <v>20</v>
      </c>
      <c r="C4" s="1378" t="s">
        <v>205</v>
      </c>
      <c r="D4" s="1378" t="s">
        <v>21</v>
      </c>
      <c r="E4" s="1375" t="s">
        <v>22</v>
      </c>
      <c r="F4" s="1376"/>
      <c r="G4" s="1377"/>
      <c r="H4" s="68" t="s">
        <v>327</v>
      </c>
      <c r="I4" s="59"/>
      <c r="J4" s="59"/>
      <c r="K4" s="59"/>
    </row>
    <row r="5" spans="1:11" ht="19.5" customHeight="1">
      <c r="A5" s="57"/>
      <c r="B5" s="1379"/>
      <c r="C5" s="1379"/>
      <c r="D5" s="1379"/>
      <c r="E5" s="69" t="s">
        <v>24</v>
      </c>
      <c r="F5" s="69" t="s">
        <v>25</v>
      </c>
      <c r="G5" s="69" t="s">
        <v>26</v>
      </c>
      <c r="H5" s="70" t="s">
        <v>23</v>
      </c>
      <c r="I5" s="59"/>
      <c r="J5" s="59"/>
      <c r="K5" s="59"/>
    </row>
    <row r="6" spans="1:11" ht="19.5" customHeight="1">
      <c r="A6" s="57"/>
      <c r="B6" s="1379"/>
      <c r="C6" s="1379"/>
      <c r="D6" s="1379"/>
      <c r="E6" s="783" t="s">
        <v>129</v>
      </c>
      <c r="F6" s="206" t="s">
        <v>601</v>
      </c>
      <c r="G6" s="206" t="s">
        <v>600</v>
      </c>
      <c r="H6" s="420" t="s">
        <v>129</v>
      </c>
      <c r="I6" s="59"/>
      <c r="J6" s="59"/>
      <c r="K6" s="59"/>
    </row>
    <row r="7" spans="1:11" ht="19.5" customHeight="1">
      <c r="A7" s="57"/>
      <c r="B7" s="1380"/>
      <c r="C7" s="1380"/>
      <c r="D7" s="1380"/>
      <c r="E7" s="71">
        <v>2015</v>
      </c>
      <c r="F7" s="71">
        <v>2016</v>
      </c>
      <c r="G7" s="71">
        <v>2016</v>
      </c>
      <c r="H7" s="72">
        <v>2016</v>
      </c>
      <c r="I7" s="59"/>
      <c r="J7" s="59"/>
      <c r="K7" s="59"/>
    </row>
    <row r="8" spans="1:11" ht="19.5" customHeight="1">
      <c r="A8" s="57"/>
      <c r="B8" s="73"/>
      <c r="C8" s="74" t="s">
        <v>32</v>
      </c>
      <c r="D8" s="66"/>
      <c r="E8" s="66"/>
      <c r="F8" s="66"/>
      <c r="G8" s="66"/>
      <c r="H8" s="67"/>
      <c r="I8" s="59"/>
      <c r="J8" s="59"/>
      <c r="K8" s="59"/>
    </row>
    <row r="9" spans="1:13" ht="19.5" customHeight="1">
      <c r="A9" s="57"/>
      <c r="B9" s="73"/>
      <c r="C9" s="75"/>
      <c r="D9" s="75"/>
      <c r="E9" s="75"/>
      <c r="F9" s="75"/>
      <c r="G9" s="75"/>
      <c r="H9" s="76"/>
      <c r="I9" s="59"/>
      <c r="J9" s="59"/>
      <c r="K9" s="59"/>
      <c r="M9" s="1296"/>
    </row>
    <row r="10" spans="1:11" ht="19.5" customHeight="1">
      <c r="A10" s="57"/>
      <c r="B10" s="73"/>
      <c r="C10" s="89" t="s">
        <v>206</v>
      </c>
      <c r="D10" s="78" t="s">
        <v>554</v>
      </c>
      <c r="E10" s="79">
        <f>B30</f>
        <v>126.53</v>
      </c>
      <c r="F10" s="79">
        <f>C30</f>
        <v>145.41</v>
      </c>
      <c r="G10" s="79">
        <f>D30</f>
        <v>145.21</v>
      </c>
      <c r="H10" s="314">
        <f>E30</f>
        <v>146.07</v>
      </c>
      <c r="I10" s="59"/>
      <c r="J10" s="59"/>
      <c r="K10" s="59"/>
    </row>
    <row r="11" spans="1:11" ht="19.5" customHeight="1">
      <c r="A11" s="57"/>
      <c r="B11" s="73"/>
      <c r="C11" s="73"/>
      <c r="D11" s="78" t="s">
        <v>12</v>
      </c>
      <c r="E11" s="80">
        <f>($H$10/E10-1)*100</f>
        <v>15.442977949893288</v>
      </c>
      <c r="F11" s="80">
        <f>($H$10/F10-1)*100</f>
        <v>0.45388900350731287</v>
      </c>
      <c r="G11" s="80">
        <f>($H$10/G10-1)*100</f>
        <v>0.592245713105144</v>
      </c>
      <c r="H11" s="81">
        <f>($H$10/H10-1)*100</f>
        <v>0</v>
      </c>
      <c r="I11" s="59"/>
      <c r="J11" s="59"/>
      <c r="K11" s="59"/>
    </row>
    <row r="12" spans="1:11" ht="19.5" customHeight="1">
      <c r="A12" s="57"/>
      <c r="B12" s="73"/>
      <c r="C12" s="89" t="s">
        <v>33</v>
      </c>
      <c r="D12" s="78" t="s">
        <v>34</v>
      </c>
      <c r="E12" s="79">
        <f>B32</f>
        <v>1693.52</v>
      </c>
      <c r="F12" s="79">
        <f>C32</f>
        <v>1849.2</v>
      </c>
      <c r="G12" s="79">
        <f>D32</f>
        <v>1815.6</v>
      </c>
      <c r="H12" s="314">
        <f>E32</f>
        <v>1821</v>
      </c>
      <c r="I12" s="59"/>
      <c r="J12" s="59"/>
      <c r="K12" s="59"/>
    </row>
    <row r="13" spans="1:11" ht="19.5" customHeight="1">
      <c r="A13" s="57"/>
      <c r="B13" s="73"/>
      <c r="C13" s="73"/>
      <c r="D13" s="78" t="s">
        <v>12</v>
      </c>
      <c r="E13" s="80">
        <f>($H$12/E12-1)*100</f>
        <v>7.5275166517076775</v>
      </c>
      <c r="F13" s="80">
        <f>($H$12/F12-1)*100</f>
        <v>-1.5249837767683294</v>
      </c>
      <c r="G13" s="80">
        <f>($H$12/G12-1)*100</f>
        <v>0.2974223397224085</v>
      </c>
      <c r="H13" s="80">
        <f>($H$12/H12-1)*100</f>
        <v>0</v>
      </c>
      <c r="I13" s="59"/>
      <c r="J13" s="59"/>
      <c r="K13" s="59"/>
    </row>
    <row r="14" spans="1:11" ht="19.5" customHeight="1">
      <c r="A14" s="57"/>
      <c r="B14" s="73"/>
      <c r="C14" s="83"/>
      <c r="D14" s="71"/>
      <c r="E14" s="84"/>
      <c r="F14" s="84"/>
      <c r="G14" s="84"/>
      <c r="H14" s="85"/>
      <c r="I14" s="59"/>
      <c r="J14" s="59"/>
      <c r="K14" s="59"/>
    </row>
    <row r="15" spans="1:11" ht="19.5" customHeight="1">
      <c r="A15" s="57"/>
      <c r="B15" s="73"/>
      <c r="C15" s="74" t="s">
        <v>556</v>
      </c>
      <c r="D15" s="86"/>
      <c r="E15" s="66"/>
      <c r="F15" s="66"/>
      <c r="G15" s="66"/>
      <c r="H15" s="87"/>
      <c r="I15" s="59"/>
      <c r="J15" s="59"/>
      <c r="K15" s="59"/>
    </row>
    <row r="16" spans="1:11" ht="19.5" customHeight="1">
      <c r="A16" s="57"/>
      <c r="B16" s="73"/>
      <c r="C16" s="89" t="s">
        <v>7</v>
      </c>
      <c r="D16" s="78" t="s">
        <v>28</v>
      </c>
      <c r="E16" s="79">
        <f>B29</f>
        <v>455</v>
      </c>
      <c r="F16" s="79">
        <f>C29</f>
        <v>486.62</v>
      </c>
      <c r="G16" s="79">
        <f>D29</f>
        <v>480.72</v>
      </c>
      <c r="H16" s="82">
        <f>E29</f>
        <v>486.29</v>
      </c>
      <c r="I16" s="59"/>
      <c r="J16" s="59"/>
      <c r="K16" s="59"/>
    </row>
    <row r="17" spans="1:11" ht="19.5" customHeight="1">
      <c r="A17" s="57"/>
      <c r="B17" s="73"/>
      <c r="C17" s="77"/>
      <c r="D17" s="78" t="s">
        <v>12</v>
      </c>
      <c r="E17" s="80">
        <f>($H$16/E16-1)*100</f>
        <v>6.876923076923092</v>
      </c>
      <c r="F17" s="80">
        <f>($H$16/F16-1)*100</f>
        <v>-0.06781472195963589</v>
      </c>
      <c r="G17" s="80">
        <f>($H$16/G16-1)*100</f>
        <v>1.158678648693634</v>
      </c>
      <c r="H17" s="80">
        <f>($H$16/H16-1)*100</f>
        <v>0</v>
      </c>
      <c r="I17" s="59"/>
      <c r="J17" s="59"/>
      <c r="K17" s="59"/>
    </row>
    <row r="18" spans="1:11" ht="19.5" customHeight="1">
      <c r="A18" s="57"/>
      <c r="B18" s="73"/>
      <c r="C18" s="77"/>
      <c r="D18" s="78"/>
      <c r="E18" s="80"/>
      <c r="F18" s="80"/>
      <c r="G18" s="288" t="s">
        <v>295</v>
      </c>
      <c r="H18" s="81">
        <v>3.2397</v>
      </c>
      <c r="I18" s="59"/>
      <c r="J18" s="59"/>
      <c r="K18" s="59"/>
    </row>
    <row r="19" spans="1:11" ht="19.5" customHeight="1">
      <c r="A19" s="57"/>
      <c r="B19" s="73"/>
      <c r="C19" s="90" t="s">
        <v>557</v>
      </c>
      <c r="D19" s="91"/>
      <c r="E19" s="92"/>
      <c r="F19" s="92"/>
      <c r="G19" s="92"/>
      <c r="H19" s="93"/>
      <c r="I19" s="59"/>
      <c r="J19" s="59"/>
      <c r="K19" s="59"/>
    </row>
    <row r="20" spans="1:11" ht="19.5" customHeight="1">
      <c r="A20" s="57"/>
      <c r="B20" s="94"/>
      <c r="C20" s="89" t="s">
        <v>29</v>
      </c>
      <c r="D20" s="78" t="s">
        <v>28</v>
      </c>
      <c r="E20" s="79">
        <f>B31</f>
        <v>325.16</v>
      </c>
      <c r="F20" s="79">
        <f>C31</f>
        <v>421.09</v>
      </c>
      <c r="G20" s="79">
        <f>D31</f>
        <v>424.04</v>
      </c>
      <c r="H20" s="82">
        <f>E31</f>
        <v>423.26</v>
      </c>
      <c r="I20" s="59"/>
      <c r="J20" s="59"/>
      <c r="K20" s="59"/>
    </row>
    <row r="21" spans="1:15" ht="19.5" customHeight="1">
      <c r="A21" s="57"/>
      <c r="B21" s="94"/>
      <c r="C21" s="77"/>
      <c r="D21" s="78" t="s">
        <v>12</v>
      </c>
      <c r="E21" s="80">
        <f>($H$20/E20-1)*100</f>
        <v>30.16976257842292</v>
      </c>
      <c r="F21" s="80">
        <f>($H$20/F20-1)*100</f>
        <v>0.5153292645277752</v>
      </c>
      <c r="G21" s="80">
        <f>($H$20/G20-1)*100</f>
        <v>-0.18394491085746978</v>
      </c>
      <c r="H21" s="80">
        <f>($H$20/H20-1)*100</f>
        <v>0</v>
      </c>
      <c r="I21" s="59"/>
      <c r="J21" s="59"/>
      <c r="K21" s="59"/>
      <c r="O21" s="1126"/>
    </row>
    <row r="22" spans="1:11" ht="19.5" customHeight="1">
      <c r="A22" s="57"/>
      <c r="B22" s="94"/>
      <c r="C22" s="1373" t="s">
        <v>394</v>
      </c>
      <c r="D22" s="1374"/>
      <c r="E22" s="218"/>
      <c r="F22" s="218"/>
      <c r="G22" s="218"/>
      <c r="H22" s="93"/>
      <c r="I22" s="59"/>
      <c r="J22" s="59"/>
      <c r="K22" s="59"/>
    </row>
    <row r="23" spans="1:11" ht="19.5" customHeight="1">
      <c r="A23" s="57"/>
      <c r="B23" s="94"/>
      <c r="C23" s="263" t="s">
        <v>206</v>
      </c>
      <c r="D23" s="261" t="s">
        <v>47</v>
      </c>
      <c r="E23" s="286" t="s">
        <v>307</v>
      </c>
      <c r="F23" s="285">
        <f>H10*1.3228</f>
        <v>193.221396</v>
      </c>
      <c r="G23" s="259" t="s">
        <v>297</v>
      </c>
      <c r="H23" s="82">
        <f>F23*H18</f>
        <v>625.9793566212</v>
      </c>
      <c r="I23" s="59"/>
      <c r="J23" s="59"/>
      <c r="K23" s="59"/>
    </row>
    <row r="24" spans="1:11" ht="24" customHeight="1">
      <c r="A24" s="57"/>
      <c r="B24" s="65"/>
      <c r="C24" s="264" t="s">
        <v>33</v>
      </c>
      <c r="D24" s="262" t="s">
        <v>225</v>
      </c>
      <c r="E24" s="266" t="s">
        <v>296</v>
      </c>
      <c r="F24" s="265">
        <f>H12/16.6</f>
        <v>109.69879518072288</v>
      </c>
      <c r="G24" s="260" t="s">
        <v>298</v>
      </c>
      <c r="H24" s="219">
        <f>F24*H18</f>
        <v>355.3911867469879</v>
      </c>
      <c r="I24" s="59"/>
      <c r="J24" s="59"/>
      <c r="K24" s="59"/>
    </row>
    <row r="25" spans="1:11" ht="16.5" customHeight="1">
      <c r="A25" s="57"/>
      <c r="B25" s="61" t="s">
        <v>334</v>
      </c>
      <c r="C25" s="62"/>
      <c r="D25" s="62"/>
      <c r="E25" s="62"/>
      <c r="F25" s="62"/>
      <c r="G25" s="62"/>
      <c r="H25" s="62"/>
      <c r="I25" s="59"/>
      <c r="J25" s="350" t="s">
        <v>308</v>
      </c>
      <c r="K25" s="351">
        <f ca="1">NOW()</f>
        <v>42626.37860671296</v>
      </c>
    </row>
    <row r="26" ht="12.75">
      <c r="K26" s="4"/>
    </row>
    <row r="27" spans="1:11" ht="12.75">
      <c r="A27" s="3" t="s">
        <v>261</v>
      </c>
      <c r="K27" s="4"/>
    </row>
    <row r="28" spans="1:11" ht="12.75">
      <c r="A28" s="120"/>
      <c r="B28" s="52" t="s">
        <v>24</v>
      </c>
      <c r="C28" s="52" t="s">
        <v>25</v>
      </c>
      <c r="D28" s="52" t="s">
        <v>26</v>
      </c>
      <c r="E28" s="119" t="s">
        <v>27</v>
      </c>
      <c r="K28" s="4"/>
    </row>
    <row r="29" spans="1:5" ht="12.75">
      <c r="A29" s="54" t="s">
        <v>7</v>
      </c>
      <c r="B29" s="1207">
        <v>455</v>
      </c>
      <c r="C29" s="1207">
        <v>486.62</v>
      </c>
      <c r="D29" s="1207">
        <v>480.72</v>
      </c>
      <c r="E29" s="1207">
        <v>486.29</v>
      </c>
    </row>
    <row r="30" spans="1:9" ht="15">
      <c r="A30" s="53" t="s">
        <v>207</v>
      </c>
      <c r="B30" s="1208">
        <v>126.53</v>
      </c>
      <c r="C30" s="1208">
        <v>145.41</v>
      </c>
      <c r="D30" s="1208">
        <v>145.21</v>
      </c>
      <c r="E30" s="1208">
        <v>146.07</v>
      </c>
      <c r="G30" s="121"/>
      <c r="H30" s="121"/>
      <c r="I30" s="121"/>
    </row>
    <row r="31" spans="1:9" ht="14.25">
      <c r="A31" s="53" t="s">
        <v>29</v>
      </c>
      <c r="B31" s="1209">
        <v>325.16</v>
      </c>
      <c r="C31" s="1209">
        <v>421.09</v>
      </c>
      <c r="D31" s="1209">
        <v>424.04</v>
      </c>
      <c r="E31" s="1209">
        <v>423.26</v>
      </c>
      <c r="G31" s="122"/>
      <c r="H31" s="122"/>
      <c r="I31" s="122"/>
    </row>
    <row r="32" spans="1:9" ht="15">
      <c r="A32" s="55" t="s">
        <v>208</v>
      </c>
      <c r="B32" s="1210">
        <v>1693.52</v>
      </c>
      <c r="C32" s="1210">
        <v>1849.2</v>
      </c>
      <c r="D32" s="1210">
        <v>1815.6</v>
      </c>
      <c r="E32" s="1210">
        <v>1821</v>
      </c>
      <c r="G32" s="123"/>
      <c r="H32" s="124"/>
      <c r="I32" s="123"/>
    </row>
  </sheetData>
  <sheetProtection/>
  <mergeCells count="6">
    <mergeCell ref="C22:D22"/>
    <mergeCell ref="A1:K1"/>
    <mergeCell ref="E4:G4"/>
    <mergeCell ref="B4:B7"/>
    <mergeCell ref="C4:C7"/>
    <mergeCell ref="D4:D7"/>
  </mergeCells>
  <printOptions horizontalCentered="1" vertic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2" width="2.7109375" style="0" customWidth="1"/>
    <col min="3" max="3" width="12.28125" style="0" customWidth="1"/>
    <col min="4" max="15" width="7.7109375" style="0" customWidth="1"/>
    <col min="16" max="16" width="11.57421875" style="0" customWidth="1"/>
    <col min="17" max="17" width="7.7109375" style="0" customWidth="1"/>
    <col min="18" max="19" width="2.7109375" style="0" customWidth="1"/>
    <col min="20" max="20" width="8.8515625" style="0" bestFit="1" customWidth="1"/>
  </cols>
  <sheetData>
    <row r="1" spans="1:19" ht="18" customHeight="1">
      <c r="A1" s="1334" t="s">
        <v>409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  <c r="R1" s="1334"/>
      <c r="S1" s="1334"/>
    </row>
    <row r="2" spans="1:19" ht="21" customHeight="1">
      <c r="A2" s="60"/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6"/>
      <c r="S2" s="57"/>
    </row>
    <row r="3" spans="1:19" ht="21" customHeight="1">
      <c r="A3" s="60"/>
      <c r="B3" s="95"/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  <c r="Q3" s="1382"/>
      <c r="R3" s="96"/>
      <c r="S3" s="57"/>
    </row>
    <row r="4" spans="1:19" ht="21" customHeight="1">
      <c r="A4" s="60"/>
      <c r="B4" s="98"/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3"/>
      <c r="N4" s="133"/>
      <c r="O4" s="293"/>
      <c r="P4" s="293"/>
      <c r="Q4" s="135"/>
      <c r="R4" s="106"/>
      <c r="S4" s="58"/>
    </row>
    <row r="5" spans="1:19" ht="21" customHeight="1">
      <c r="A5" s="60"/>
      <c r="B5" s="98"/>
      <c r="C5" s="1383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06"/>
      <c r="S5" s="58"/>
    </row>
    <row r="6" spans="1:19" ht="21" customHeight="1">
      <c r="A6" s="60"/>
      <c r="B6" s="99"/>
      <c r="C6" s="1383"/>
      <c r="D6" s="1381"/>
      <c r="E6" s="1381"/>
      <c r="F6" s="1381"/>
      <c r="G6" s="1131"/>
      <c r="H6" s="1132"/>
      <c r="I6" s="1131"/>
      <c r="J6" s="1131"/>
      <c r="K6" s="1132"/>
      <c r="L6" s="1131"/>
      <c r="M6" s="1133"/>
      <c r="N6" s="1133"/>
      <c r="O6" s="1133"/>
      <c r="P6" s="1133"/>
      <c r="Q6" s="1133"/>
      <c r="R6" s="103"/>
      <c r="S6" s="58"/>
    </row>
    <row r="7" spans="1:19" ht="21" customHeight="1">
      <c r="A7" s="60"/>
      <c r="B7" s="99"/>
      <c r="C7" s="1383"/>
      <c r="D7" s="1381"/>
      <c r="E7" s="1381"/>
      <c r="F7" s="1381"/>
      <c r="G7" s="1381"/>
      <c r="H7" s="1381"/>
      <c r="I7" s="1381"/>
      <c r="J7" s="1133"/>
      <c r="K7" s="1133"/>
      <c r="L7" s="1133"/>
      <c r="M7" s="1133"/>
      <c r="N7" s="1133"/>
      <c r="O7" s="1133"/>
      <c r="P7" s="1133"/>
      <c r="Q7" s="1133"/>
      <c r="R7" s="103"/>
      <c r="S7" s="58"/>
    </row>
    <row r="8" spans="1:19" ht="21" customHeight="1">
      <c r="A8" s="60"/>
      <c r="B8" s="99"/>
      <c r="C8" s="1383"/>
      <c r="D8" s="1381"/>
      <c r="E8" s="1381"/>
      <c r="F8" s="1381"/>
      <c r="G8" s="1381"/>
      <c r="H8" s="1381"/>
      <c r="I8" s="1381"/>
      <c r="J8" s="1384"/>
      <c r="K8" s="1384"/>
      <c r="L8" s="1384"/>
      <c r="M8" s="1381"/>
      <c r="N8" s="1381"/>
      <c r="O8" s="1381"/>
      <c r="P8" s="1381"/>
      <c r="Q8" s="1381"/>
      <c r="R8" s="103"/>
      <c r="S8" s="58"/>
    </row>
    <row r="9" spans="1:19" ht="21" customHeight="1">
      <c r="A9" s="60"/>
      <c r="B9" s="99"/>
      <c r="C9" s="1134"/>
      <c r="D9" s="1135"/>
      <c r="E9" s="1136"/>
      <c r="F9" s="125"/>
      <c r="G9" s="1135"/>
      <c r="H9" s="1136"/>
      <c r="I9" s="125"/>
      <c r="J9" s="1135"/>
      <c r="K9" s="1136"/>
      <c r="L9" s="125"/>
      <c r="M9" s="1135"/>
      <c r="N9" s="1136"/>
      <c r="O9" s="1135"/>
      <c r="P9" s="1137"/>
      <c r="Q9" s="125"/>
      <c r="R9" s="103"/>
      <c r="S9" s="58"/>
    </row>
    <row r="10" spans="1:19" ht="21" customHeight="1">
      <c r="A10" s="60"/>
      <c r="B10" s="99"/>
      <c r="C10" s="1134"/>
      <c r="D10" s="1135"/>
      <c r="E10" s="1136"/>
      <c r="F10" s="125"/>
      <c r="G10" s="1135"/>
      <c r="H10" s="1136"/>
      <c r="I10" s="125"/>
      <c r="J10" s="1135"/>
      <c r="K10" s="1136"/>
      <c r="L10" s="193"/>
      <c r="M10" s="1135"/>
      <c r="N10" s="1136"/>
      <c r="O10" s="1135"/>
      <c r="P10" s="1136"/>
      <c r="Q10" s="125"/>
      <c r="R10" s="103"/>
      <c r="S10" s="58"/>
    </row>
    <row r="11" spans="1:19" ht="21" customHeight="1">
      <c r="A11" s="60"/>
      <c r="B11" s="99"/>
      <c r="C11" s="1134"/>
      <c r="D11" s="1135"/>
      <c r="E11" s="1136"/>
      <c r="F11" s="125"/>
      <c r="G11" s="1135"/>
      <c r="H11" s="1136"/>
      <c r="I11" s="125"/>
      <c r="J11" s="1135"/>
      <c r="K11" s="1136"/>
      <c r="L11" s="125"/>
      <c r="M11" s="1135"/>
      <c r="N11" s="1136"/>
      <c r="O11" s="1135"/>
      <c r="P11" s="1136"/>
      <c r="Q11" s="125"/>
      <c r="R11" s="103"/>
      <c r="S11" s="58"/>
    </row>
    <row r="12" spans="1:20" ht="21" customHeight="1">
      <c r="A12" s="60"/>
      <c r="B12" s="99"/>
      <c r="C12" s="1134"/>
      <c r="D12" s="1135"/>
      <c r="E12" s="1136"/>
      <c r="F12" s="125"/>
      <c r="G12" s="1135"/>
      <c r="H12" s="1136"/>
      <c r="I12" s="125"/>
      <c r="J12" s="1135"/>
      <c r="K12" s="1136"/>
      <c r="L12" s="125"/>
      <c r="M12" s="1135"/>
      <c r="N12" s="1136"/>
      <c r="O12" s="1135"/>
      <c r="P12" s="1136"/>
      <c r="Q12" s="125"/>
      <c r="R12" s="103"/>
      <c r="S12" s="58"/>
      <c r="T12" s="51"/>
    </row>
    <row r="13" spans="1:20" ht="21" customHeight="1">
      <c r="A13" s="60"/>
      <c r="B13" s="99"/>
      <c r="C13" s="1134"/>
      <c r="D13" s="1135"/>
      <c r="E13" s="1135"/>
      <c r="F13" s="125"/>
      <c r="G13" s="1135"/>
      <c r="H13" s="1135"/>
      <c r="I13" s="125"/>
      <c r="J13" s="1135"/>
      <c r="K13" s="1135"/>
      <c r="L13" s="125"/>
      <c r="M13" s="1135"/>
      <c r="N13" s="1135"/>
      <c r="O13" s="1135"/>
      <c r="P13" s="1135"/>
      <c r="Q13" s="125"/>
      <c r="R13" s="103"/>
      <c r="S13" s="58"/>
      <c r="T13" s="51"/>
    </row>
    <row r="14" spans="1:20" ht="21" customHeight="1">
      <c r="A14" s="60"/>
      <c r="B14" s="99"/>
      <c r="C14" s="1134"/>
      <c r="D14" s="1135"/>
      <c r="E14" s="1135"/>
      <c r="F14" s="125"/>
      <c r="G14" s="1135"/>
      <c r="H14" s="1135"/>
      <c r="I14" s="125"/>
      <c r="J14" s="1135"/>
      <c r="K14" s="1135"/>
      <c r="L14" s="125"/>
      <c r="M14" s="1135"/>
      <c r="N14" s="1135"/>
      <c r="O14" s="1135"/>
      <c r="P14" s="1135"/>
      <c r="Q14" s="125"/>
      <c r="R14" s="103"/>
      <c r="S14" s="58"/>
      <c r="T14" s="51"/>
    </row>
    <row r="15" spans="1:24" ht="21" customHeight="1">
      <c r="A15" s="60"/>
      <c r="B15" s="99"/>
      <c r="C15" s="1134"/>
      <c r="D15" s="1135"/>
      <c r="E15" s="1135"/>
      <c r="F15" s="125"/>
      <c r="G15" s="1135"/>
      <c r="H15" s="1135"/>
      <c r="I15" s="125"/>
      <c r="J15" s="1135"/>
      <c r="K15" s="1135"/>
      <c r="L15" s="125"/>
      <c r="M15" s="1135"/>
      <c r="N15" s="1135"/>
      <c r="O15" s="1135"/>
      <c r="P15" s="1135"/>
      <c r="Q15" s="125"/>
      <c r="R15" s="103"/>
      <c r="S15" s="57"/>
      <c r="T15" s="51"/>
      <c r="U15" s="540"/>
      <c r="V15" s="540"/>
      <c r="W15" s="540"/>
      <c r="X15" s="540"/>
    </row>
    <row r="16" spans="1:24" ht="21" customHeight="1">
      <c r="A16" s="60"/>
      <c r="B16" s="99"/>
      <c r="C16" s="1134"/>
      <c r="D16" s="1135"/>
      <c r="E16" s="1136"/>
      <c r="F16" s="125"/>
      <c r="G16" s="1135"/>
      <c r="H16" s="1136"/>
      <c r="I16" s="125"/>
      <c r="J16" s="1135"/>
      <c r="K16" s="1138"/>
      <c r="L16" s="125"/>
      <c r="M16" s="1135"/>
      <c r="N16" s="1138"/>
      <c r="O16" s="1135"/>
      <c r="P16" s="1138"/>
      <c r="Q16" s="125"/>
      <c r="R16" s="103"/>
      <c r="S16" s="57"/>
      <c r="T16" s="51"/>
      <c r="U16" s="540"/>
      <c r="V16" s="540"/>
      <c r="W16" s="540"/>
      <c r="X16" s="540"/>
    </row>
    <row r="17" spans="1:24" ht="21" customHeight="1">
      <c r="A17" s="60"/>
      <c r="B17" s="99"/>
      <c r="C17" s="1134"/>
      <c r="D17" s="1135"/>
      <c r="E17" s="1136"/>
      <c r="F17" s="125"/>
      <c r="G17" s="1135"/>
      <c r="H17" s="1136"/>
      <c r="I17" s="125"/>
      <c r="J17" s="1135"/>
      <c r="K17" s="1136"/>
      <c r="L17" s="125"/>
      <c r="M17" s="1135"/>
      <c r="N17" s="1136"/>
      <c r="O17" s="1135"/>
      <c r="P17" s="1136"/>
      <c r="Q17" s="125"/>
      <c r="R17" s="103"/>
      <c r="S17" s="57"/>
      <c r="T17" s="51"/>
      <c r="U17" s="540"/>
      <c r="V17" s="540"/>
      <c r="W17" s="540"/>
      <c r="X17" s="540"/>
    </row>
    <row r="18" spans="1:24" ht="21" customHeight="1">
      <c r="A18" s="60"/>
      <c r="B18" s="99"/>
      <c r="C18" s="1134"/>
      <c r="D18" s="1135"/>
      <c r="E18" s="1136"/>
      <c r="F18" s="125"/>
      <c r="G18" s="1135"/>
      <c r="H18" s="1136"/>
      <c r="I18" s="125"/>
      <c r="J18" s="1135"/>
      <c r="K18" s="1136"/>
      <c r="L18" s="125"/>
      <c r="M18" s="1135"/>
      <c r="N18" s="1136"/>
      <c r="O18" s="1135"/>
      <c r="P18" s="1136"/>
      <c r="Q18" s="125"/>
      <c r="R18" s="103"/>
      <c r="S18" s="57"/>
      <c r="T18" s="51"/>
      <c r="U18" s="540"/>
      <c r="V18" s="540"/>
      <c r="W18" s="540"/>
      <c r="X18" s="540"/>
    </row>
    <row r="19" spans="1:20" ht="21" customHeight="1">
      <c r="A19" s="60"/>
      <c r="B19" s="99"/>
      <c r="C19" s="1134"/>
      <c r="D19" s="1135"/>
      <c r="E19" s="1136"/>
      <c r="F19" s="125"/>
      <c r="G19" s="1135"/>
      <c r="H19" s="1136"/>
      <c r="I19" s="125"/>
      <c r="J19" s="1135"/>
      <c r="K19" s="1136"/>
      <c r="L19" s="125"/>
      <c r="M19" s="1135"/>
      <c r="N19" s="1136"/>
      <c r="O19" s="1135"/>
      <c r="P19" s="1136"/>
      <c r="Q19" s="125"/>
      <c r="R19" s="103"/>
      <c r="S19" s="57"/>
      <c r="T19" s="51"/>
    </row>
    <row r="20" spans="1:20" ht="21" customHeight="1">
      <c r="A20" s="60"/>
      <c r="B20" s="99"/>
      <c r="C20" s="112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03"/>
      <c r="S20" s="57"/>
      <c r="T20" s="51"/>
    </row>
    <row r="21" spans="1:20" ht="21" customHeight="1">
      <c r="A21" s="60"/>
      <c r="B21" s="117"/>
      <c r="C21" s="788" t="s">
        <v>479</v>
      </c>
      <c r="D21" s="296"/>
      <c r="E21" s="296"/>
      <c r="F21" s="296"/>
      <c r="G21" s="296"/>
      <c r="H21" s="296"/>
      <c r="I21" s="296"/>
      <c r="J21" s="297"/>
      <c r="K21" s="297"/>
      <c r="L21" s="296"/>
      <c r="M21" s="297"/>
      <c r="N21" s="297"/>
      <c r="O21" s="297"/>
      <c r="P21" s="297"/>
      <c r="Q21" s="296"/>
      <c r="R21" s="129"/>
      <c r="S21" s="57"/>
      <c r="T21" s="51"/>
    </row>
    <row r="22" spans="1:20" ht="21" customHeight="1">
      <c r="A22" s="60"/>
      <c r="B22" s="177"/>
      <c r="C22" s="789" t="s">
        <v>340</v>
      </c>
      <c r="D22" s="298"/>
      <c r="E22" s="298"/>
      <c r="F22" s="298"/>
      <c r="G22" s="298"/>
      <c r="H22" s="298"/>
      <c r="I22" s="298"/>
      <c r="J22" s="299"/>
      <c r="K22" s="299"/>
      <c r="L22" s="298"/>
      <c r="M22" s="299"/>
      <c r="N22" s="299"/>
      <c r="O22" s="299"/>
      <c r="P22" s="299"/>
      <c r="Q22" s="298"/>
      <c r="R22" s="178"/>
      <c r="S22" s="57"/>
      <c r="T22" s="51"/>
    </row>
    <row r="23" spans="1:20" ht="18" customHeight="1">
      <c r="A23" s="57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57"/>
      <c r="T23" s="51"/>
    </row>
    <row r="24" ht="15">
      <c r="T24" s="51"/>
    </row>
    <row r="25" spans="11:14" ht="12.75">
      <c r="K25" s="540"/>
      <c r="L25" s="540"/>
      <c r="M25" s="540"/>
      <c r="N25" s="540"/>
    </row>
  </sheetData>
  <sheetProtection/>
  <mergeCells count="12">
    <mergeCell ref="M8:N8"/>
    <mergeCell ref="O8:Q8"/>
    <mergeCell ref="A1:S1"/>
    <mergeCell ref="B2:R2"/>
    <mergeCell ref="C3:Q3"/>
    <mergeCell ref="C5:C8"/>
    <mergeCell ref="D6:F6"/>
    <mergeCell ref="D7:F7"/>
    <mergeCell ref="G7:I7"/>
    <mergeCell ref="D8:F8"/>
    <mergeCell ref="G8:I8"/>
    <mergeCell ref="J8:L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V23" sqref="V23"/>
    </sheetView>
  </sheetViews>
  <sheetFormatPr defaultColWidth="9.140625" defaultRowHeight="12.75"/>
  <cols>
    <col min="1" max="2" width="2.7109375" style="0" customWidth="1"/>
    <col min="3" max="3" width="12.28125" style="0" customWidth="1"/>
    <col min="4" max="5" width="7.7109375" style="0" customWidth="1"/>
    <col min="6" max="6" width="7.00390625" style="0" bestFit="1" customWidth="1"/>
    <col min="7" max="8" width="7.7109375" style="0" customWidth="1"/>
    <col min="9" max="9" width="7.00390625" style="0" bestFit="1" customWidth="1"/>
    <col min="10" max="14" width="7.7109375" style="0" customWidth="1"/>
    <col min="15" max="15" width="7.00390625" style="0" bestFit="1" customWidth="1"/>
    <col min="16" max="18" width="7.7109375" style="0" customWidth="1"/>
    <col min="19" max="20" width="2.7109375" style="0" customWidth="1"/>
  </cols>
  <sheetData>
    <row r="1" spans="1:20" ht="18" customHeight="1">
      <c r="A1" s="1334" t="s">
        <v>410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  <c r="R1" s="1334"/>
      <c r="S1" s="1334"/>
      <c r="T1" s="1334"/>
    </row>
    <row r="2" spans="1:20" ht="19.5" customHeight="1">
      <c r="A2" s="60"/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6"/>
      <c r="T2" s="57"/>
    </row>
    <row r="3" spans="1:20" ht="19.5" customHeight="1">
      <c r="A3" s="60"/>
      <c r="B3" s="95"/>
      <c r="C3" s="1382" t="s">
        <v>438</v>
      </c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  <c r="Q3" s="1382"/>
      <c r="R3" s="1382"/>
      <c r="S3" s="96"/>
      <c r="T3" s="57"/>
    </row>
    <row r="4" spans="1:20" ht="19.5" customHeight="1">
      <c r="A4" s="60"/>
      <c r="B4" s="98"/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3"/>
      <c r="N4" s="133"/>
      <c r="O4" s="133"/>
      <c r="P4" s="293"/>
      <c r="Q4" s="293"/>
      <c r="R4" s="135" t="s">
        <v>52</v>
      </c>
      <c r="S4" s="106"/>
      <c r="T4" s="58"/>
    </row>
    <row r="5" spans="1:20" ht="19.5" customHeight="1">
      <c r="A5" s="60"/>
      <c r="B5" s="98"/>
      <c r="C5" s="1394" t="s">
        <v>53</v>
      </c>
      <c r="D5" s="476">
        <v>2014</v>
      </c>
      <c r="E5" s="477">
        <v>2015</v>
      </c>
      <c r="F5" s="478">
        <v>2016</v>
      </c>
      <c r="G5" s="476">
        <v>2014</v>
      </c>
      <c r="H5" s="477">
        <v>2015</v>
      </c>
      <c r="I5" s="478">
        <v>2016</v>
      </c>
      <c r="J5" s="476">
        <v>2014</v>
      </c>
      <c r="K5" s="477">
        <v>2015</v>
      </c>
      <c r="L5" s="478">
        <v>2016</v>
      </c>
      <c r="M5" s="476">
        <v>2014</v>
      </c>
      <c r="N5" s="477">
        <v>2015</v>
      </c>
      <c r="O5" s="478">
        <v>2016</v>
      </c>
      <c r="P5" s="476">
        <v>2014</v>
      </c>
      <c r="Q5" s="477">
        <v>2015</v>
      </c>
      <c r="R5" s="477">
        <v>2016</v>
      </c>
      <c r="S5" s="106"/>
      <c r="T5" s="58"/>
    </row>
    <row r="6" spans="1:20" ht="19.5" customHeight="1">
      <c r="A6" s="60"/>
      <c r="B6" s="99"/>
      <c r="C6" s="1395"/>
      <c r="D6" s="1385" t="s">
        <v>54</v>
      </c>
      <c r="E6" s="1386"/>
      <c r="F6" s="1387"/>
      <c r="G6" s="479"/>
      <c r="H6" s="487" t="s">
        <v>338</v>
      </c>
      <c r="I6" s="481"/>
      <c r="J6" s="480"/>
      <c r="K6" s="487" t="s">
        <v>339</v>
      </c>
      <c r="L6" s="481"/>
      <c r="M6" s="475" t="s">
        <v>336</v>
      </c>
      <c r="N6" s="475"/>
      <c r="O6" s="475"/>
      <c r="P6" s="482" t="s">
        <v>337</v>
      </c>
      <c r="Q6" s="475"/>
      <c r="R6" s="475"/>
      <c r="S6" s="103"/>
      <c r="T6" s="58"/>
    </row>
    <row r="7" spans="1:20" ht="19.5" customHeight="1">
      <c r="A7" s="60"/>
      <c r="B7" s="99"/>
      <c r="C7" s="1395"/>
      <c r="D7" s="1385" t="s">
        <v>55</v>
      </c>
      <c r="E7" s="1386"/>
      <c r="F7" s="1387"/>
      <c r="G7" s="1385" t="s">
        <v>56</v>
      </c>
      <c r="H7" s="1386"/>
      <c r="I7" s="1387"/>
      <c r="J7" s="475" t="s">
        <v>335</v>
      </c>
      <c r="K7" s="475"/>
      <c r="L7" s="483"/>
      <c r="M7" s="475" t="s">
        <v>437</v>
      </c>
      <c r="N7" s="475"/>
      <c r="O7" s="475"/>
      <c r="P7" s="482" t="s">
        <v>57</v>
      </c>
      <c r="Q7" s="475"/>
      <c r="R7" s="475"/>
      <c r="S7" s="103"/>
      <c r="T7" s="58"/>
    </row>
    <row r="8" spans="1:20" ht="19.5" customHeight="1">
      <c r="A8" s="60"/>
      <c r="B8" s="99"/>
      <c r="C8" s="1396"/>
      <c r="D8" s="1388" t="s">
        <v>58</v>
      </c>
      <c r="E8" s="1389"/>
      <c r="F8" s="1390"/>
      <c r="G8" s="1389" t="s">
        <v>59</v>
      </c>
      <c r="H8" s="1389"/>
      <c r="I8" s="1389"/>
      <c r="J8" s="1391" t="s">
        <v>60</v>
      </c>
      <c r="K8" s="1392"/>
      <c r="L8" s="1393"/>
      <c r="M8" s="1389" t="s">
        <v>61</v>
      </c>
      <c r="N8" s="1389"/>
      <c r="O8" s="1389"/>
      <c r="P8" s="1388" t="s">
        <v>61</v>
      </c>
      <c r="Q8" s="1389"/>
      <c r="R8" s="1389"/>
      <c r="S8" s="103"/>
      <c r="T8" s="58"/>
    </row>
    <row r="9" spans="1:20" ht="19.5" customHeight="1">
      <c r="A9" s="60"/>
      <c r="B9" s="99"/>
      <c r="C9" s="484" t="s">
        <v>62</v>
      </c>
      <c r="D9" s="10">
        <v>289.44</v>
      </c>
      <c r="E9" s="785">
        <v>465.92</v>
      </c>
      <c r="F9" s="787">
        <v>491.31</v>
      </c>
      <c r="G9" s="10">
        <v>226.82</v>
      </c>
      <c r="H9" s="220">
        <v>283.29</v>
      </c>
      <c r="I9" s="787">
        <v>389.07</v>
      </c>
      <c r="J9" s="10">
        <v>244.45</v>
      </c>
      <c r="K9" s="220">
        <v>340</v>
      </c>
      <c r="L9" s="790">
        <v>482</v>
      </c>
      <c r="M9" s="10">
        <v>214.09</v>
      </c>
      <c r="N9" s="220">
        <v>273.81</v>
      </c>
      <c r="O9" s="787">
        <v>465.25</v>
      </c>
      <c r="P9" s="10">
        <v>231.82</v>
      </c>
      <c r="Q9" s="220">
        <v>280.95</v>
      </c>
      <c r="R9" s="803">
        <v>372.7</v>
      </c>
      <c r="S9" s="103"/>
      <c r="T9" s="58"/>
    </row>
    <row r="10" spans="1:20" ht="19.5" customHeight="1">
      <c r="A10" s="60"/>
      <c r="B10" s="99"/>
      <c r="C10" s="485" t="s">
        <v>63</v>
      </c>
      <c r="D10" s="10">
        <v>366.32</v>
      </c>
      <c r="E10" s="785">
        <v>459.99</v>
      </c>
      <c r="F10" s="538">
        <v>489.82</v>
      </c>
      <c r="G10" s="10">
        <v>243.48</v>
      </c>
      <c r="H10" s="785">
        <v>299.58</v>
      </c>
      <c r="I10" s="538">
        <v>393.61</v>
      </c>
      <c r="J10" s="10">
        <v>268.5</v>
      </c>
      <c r="K10" s="785">
        <v>328.33</v>
      </c>
      <c r="L10" s="538">
        <v>486.26</v>
      </c>
      <c r="M10" s="10">
        <v>236.25</v>
      </c>
      <c r="N10" s="785">
        <v>278.89</v>
      </c>
      <c r="O10" s="538">
        <v>465.45</v>
      </c>
      <c r="P10" s="10">
        <v>243</v>
      </c>
      <c r="Q10" s="220">
        <v>285</v>
      </c>
      <c r="R10">
        <v>380.16</v>
      </c>
      <c r="S10" s="103"/>
      <c r="T10" s="58"/>
    </row>
    <row r="11" spans="1:20" ht="19.5" customHeight="1">
      <c r="A11" s="60"/>
      <c r="B11" s="99"/>
      <c r="C11" s="485" t="s">
        <v>64</v>
      </c>
      <c r="D11" s="10">
        <v>437.24</v>
      </c>
      <c r="E11" s="785">
        <v>477.1</v>
      </c>
      <c r="F11" s="538">
        <v>491.07</v>
      </c>
      <c r="G11" s="10">
        <v>263.25</v>
      </c>
      <c r="H11" s="785">
        <v>303.44</v>
      </c>
      <c r="I11" s="538">
        <v>363.88</v>
      </c>
      <c r="J11" s="10">
        <v>332.63</v>
      </c>
      <c r="K11" s="785">
        <v>330</v>
      </c>
      <c r="L11" s="1124">
        <v>487</v>
      </c>
      <c r="M11" s="10">
        <v>288.68</v>
      </c>
      <c r="N11" s="785">
        <v>290</v>
      </c>
      <c r="O11" s="538">
        <v>448.41</v>
      </c>
      <c r="P11" s="10">
        <v>282.37</v>
      </c>
      <c r="Q11" s="221">
        <v>280</v>
      </c>
      <c r="R11">
        <v>351.59</v>
      </c>
      <c r="S11" s="103"/>
      <c r="T11" s="58"/>
    </row>
    <row r="12" spans="1:20" ht="19.5" customHeight="1">
      <c r="A12" s="60"/>
      <c r="B12" s="99"/>
      <c r="C12" s="485" t="s">
        <v>65</v>
      </c>
      <c r="D12" s="10">
        <v>449.45</v>
      </c>
      <c r="E12" s="785">
        <v>445.69</v>
      </c>
      <c r="F12" s="538">
        <v>466.71</v>
      </c>
      <c r="G12" s="10">
        <v>256.77</v>
      </c>
      <c r="H12" s="785">
        <v>295.88</v>
      </c>
      <c r="I12" s="538">
        <v>379.33</v>
      </c>
      <c r="J12" s="10">
        <v>329.5</v>
      </c>
      <c r="K12" s="785">
        <v>330</v>
      </c>
      <c r="L12" s="1124">
        <v>470.6</v>
      </c>
      <c r="M12" s="10">
        <v>278</v>
      </c>
      <c r="N12" s="785">
        <v>299</v>
      </c>
      <c r="O12" s="538">
        <v>452.85</v>
      </c>
      <c r="P12" s="10">
        <v>265</v>
      </c>
      <c r="Q12" s="221">
        <v>297.5</v>
      </c>
      <c r="R12" s="803">
        <v>361.9</v>
      </c>
      <c r="S12" s="103"/>
      <c r="T12" s="58"/>
    </row>
    <row r="13" spans="1:20" ht="19.5" customHeight="1">
      <c r="A13" s="60"/>
      <c r="B13" s="99"/>
      <c r="C13" s="485" t="s">
        <v>66</v>
      </c>
      <c r="D13" s="10">
        <v>429.28</v>
      </c>
      <c r="E13" s="785">
        <v>421.95</v>
      </c>
      <c r="F13" s="538">
        <v>460.37</v>
      </c>
      <c r="G13" s="10">
        <v>245.82</v>
      </c>
      <c r="H13" s="785">
        <v>293.33</v>
      </c>
      <c r="I13" s="538">
        <v>386.95</v>
      </c>
      <c r="J13" s="10">
        <v>342.14</v>
      </c>
      <c r="K13" s="785">
        <v>318</v>
      </c>
      <c r="L13" s="538">
        <v>461.19</v>
      </c>
      <c r="M13" s="10">
        <v>279.05</v>
      </c>
      <c r="N13" s="785">
        <v>292</v>
      </c>
      <c r="O13" s="538">
        <v>446.29</v>
      </c>
      <c r="P13" s="10">
        <v>258.1</v>
      </c>
      <c r="Q13" s="221">
        <v>292</v>
      </c>
      <c r="R13">
        <v>372.95</v>
      </c>
      <c r="S13" s="103"/>
      <c r="T13" s="58"/>
    </row>
    <row r="14" spans="1:20" ht="19.5" customHeight="1">
      <c r="A14" s="60"/>
      <c r="B14" s="99"/>
      <c r="C14" s="485" t="s">
        <v>67</v>
      </c>
      <c r="D14" s="10">
        <v>396.74</v>
      </c>
      <c r="E14" s="10">
        <v>424.02</v>
      </c>
      <c r="F14" s="538">
        <v>484.97</v>
      </c>
      <c r="G14" s="10">
        <v>235.14</v>
      </c>
      <c r="H14" s="10">
        <v>301.03</v>
      </c>
      <c r="I14" s="538">
        <v>391.41</v>
      </c>
      <c r="J14" s="10">
        <v>318</v>
      </c>
      <c r="K14" s="10">
        <v>315.24</v>
      </c>
      <c r="L14" s="538">
        <v>482.14</v>
      </c>
      <c r="M14" s="10">
        <v>262.25</v>
      </c>
      <c r="N14" s="10">
        <v>280</v>
      </c>
      <c r="O14" s="538">
        <v>435.86</v>
      </c>
      <c r="P14" s="10">
        <v>241.2</v>
      </c>
      <c r="Q14" s="469">
        <v>287.62</v>
      </c>
      <c r="R14">
        <v>377.77</v>
      </c>
      <c r="S14" s="103"/>
      <c r="T14" s="58"/>
    </row>
    <row r="15" spans="1:20" ht="19.5" customHeight="1">
      <c r="A15" s="60"/>
      <c r="B15" s="99"/>
      <c r="C15" s="485" t="s">
        <v>68</v>
      </c>
      <c r="D15" s="10">
        <v>387.87</v>
      </c>
      <c r="E15" s="10">
        <v>414.5</v>
      </c>
      <c r="F15" s="538">
        <v>498.52</v>
      </c>
      <c r="G15" s="10">
        <v>242.44</v>
      </c>
      <c r="H15" s="10">
        <v>307.41</v>
      </c>
      <c r="I15" s="538">
        <v>409.99</v>
      </c>
      <c r="J15" s="10">
        <v>300.43</v>
      </c>
      <c r="K15" s="10">
        <v>320</v>
      </c>
      <c r="L15" s="538">
        <v>494.62</v>
      </c>
      <c r="M15" s="10">
        <v>243.91</v>
      </c>
      <c r="N15" s="10">
        <v>280</v>
      </c>
      <c r="O15" s="1124">
        <v>452</v>
      </c>
      <c r="P15" s="10">
        <v>239.48</v>
      </c>
      <c r="Q15" s="469">
        <v>297.39</v>
      </c>
      <c r="R15" s="1226">
        <v>399.81</v>
      </c>
      <c r="S15" s="103"/>
      <c r="T15" s="58"/>
    </row>
    <row r="16" spans="1:20" ht="19.5" customHeight="1">
      <c r="A16" s="60"/>
      <c r="B16" s="99"/>
      <c r="C16" s="485" t="s">
        <v>69</v>
      </c>
      <c r="D16" s="10">
        <v>437.19</v>
      </c>
      <c r="E16" s="10">
        <v>455.5</v>
      </c>
      <c r="F16" s="1124">
        <v>478.9</v>
      </c>
      <c r="G16" s="10">
        <v>248.42</v>
      </c>
      <c r="H16" s="10">
        <v>324.95</v>
      </c>
      <c r="I16" s="538">
        <v>422.88</v>
      </c>
      <c r="J16" s="10">
        <v>315.71</v>
      </c>
      <c r="K16" s="176">
        <v>335</v>
      </c>
      <c r="L16" s="538">
        <v>477.52</v>
      </c>
      <c r="M16" s="10">
        <v>272.86</v>
      </c>
      <c r="N16" s="176">
        <v>292</v>
      </c>
      <c r="O16" s="538">
        <v>451.04</v>
      </c>
      <c r="P16" s="10">
        <v>251.43</v>
      </c>
      <c r="Q16" s="176">
        <v>313.96</v>
      </c>
      <c r="R16" s="1226">
        <v>413.83</v>
      </c>
      <c r="S16" s="103"/>
      <c r="T16" s="57"/>
    </row>
    <row r="17" spans="1:20" ht="19.5" customHeight="1">
      <c r="A17" s="60"/>
      <c r="B17" s="99"/>
      <c r="C17" s="485" t="s">
        <v>70</v>
      </c>
      <c r="D17" s="10">
        <v>433.48</v>
      </c>
      <c r="E17" s="785">
        <v>456.95</v>
      </c>
      <c r="F17" s="538"/>
      <c r="G17" s="10">
        <v>250.1</v>
      </c>
      <c r="H17" s="785">
        <v>340.62</v>
      </c>
      <c r="I17" s="538"/>
      <c r="J17" s="10">
        <v>324.32</v>
      </c>
      <c r="K17" s="786">
        <v>495.95</v>
      </c>
      <c r="L17" s="538"/>
      <c r="M17" s="10">
        <v>272.73</v>
      </c>
      <c r="N17" s="786">
        <v>432.14</v>
      </c>
      <c r="O17" s="538"/>
      <c r="P17" s="10">
        <v>255.45</v>
      </c>
      <c r="Q17" s="513">
        <v>332.05</v>
      </c>
      <c r="S17" s="103"/>
      <c r="T17" s="57"/>
    </row>
    <row r="18" spans="1:20" ht="19.5" customHeight="1">
      <c r="A18" s="60"/>
      <c r="B18" s="99"/>
      <c r="C18" s="485" t="s">
        <v>71</v>
      </c>
      <c r="D18" s="10">
        <v>480.13</v>
      </c>
      <c r="E18" s="785">
        <v>478.11</v>
      </c>
      <c r="F18" s="538"/>
      <c r="G18" s="10">
        <v>264.25</v>
      </c>
      <c r="H18" s="785">
        <v>363.9</v>
      </c>
      <c r="I18" s="538"/>
      <c r="J18" s="10">
        <v>338.7</v>
      </c>
      <c r="K18" s="785">
        <v>502.86</v>
      </c>
      <c r="L18" s="538"/>
      <c r="M18" s="10">
        <v>284.35</v>
      </c>
      <c r="N18" s="785">
        <v>443.76</v>
      </c>
      <c r="O18" s="538"/>
      <c r="P18" s="10">
        <v>272.61</v>
      </c>
      <c r="Q18" s="221">
        <v>351.05</v>
      </c>
      <c r="S18" s="103"/>
      <c r="T18" s="57"/>
    </row>
    <row r="19" spans="1:20" ht="19.5" customHeight="1">
      <c r="A19" s="60"/>
      <c r="B19" s="99"/>
      <c r="C19" s="485" t="s">
        <v>72</v>
      </c>
      <c r="D19" s="10">
        <v>460.96</v>
      </c>
      <c r="E19" s="785">
        <v>469.39</v>
      </c>
      <c r="F19" s="538"/>
      <c r="G19" s="10">
        <v>277.02</v>
      </c>
      <c r="H19" s="785">
        <v>375.28</v>
      </c>
      <c r="I19" s="538"/>
      <c r="J19" s="10">
        <v>345.5</v>
      </c>
      <c r="K19" s="785">
        <v>492.45</v>
      </c>
      <c r="L19" s="538"/>
      <c r="M19" s="10">
        <v>281.75</v>
      </c>
      <c r="N19" s="785">
        <v>438.25</v>
      </c>
      <c r="O19" s="538"/>
      <c r="P19" s="10">
        <v>280.75</v>
      </c>
      <c r="Q19" s="221">
        <v>362.29</v>
      </c>
      <c r="S19" s="103"/>
      <c r="T19" s="57"/>
    </row>
    <row r="20" spans="1:20" ht="19.5" customHeight="1">
      <c r="A20" s="60"/>
      <c r="B20" s="99"/>
      <c r="C20" s="485" t="s">
        <v>73</v>
      </c>
      <c r="D20" s="176">
        <v>455.2</v>
      </c>
      <c r="E20" s="222">
        <v>479.32</v>
      </c>
      <c r="F20" s="538"/>
      <c r="G20" s="176">
        <v>275.25</v>
      </c>
      <c r="H20" s="222">
        <v>378.98</v>
      </c>
      <c r="I20" s="538"/>
      <c r="J20" s="176">
        <v>340.5</v>
      </c>
      <c r="K20" s="222">
        <v>477.75</v>
      </c>
      <c r="L20" s="538"/>
      <c r="M20" s="176">
        <v>290</v>
      </c>
      <c r="N20" s="222">
        <v>446.15</v>
      </c>
      <c r="O20" s="538"/>
      <c r="P20" s="176">
        <v>285</v>
      </c>
      <c r="Q20" s="222">
        <v>364.55</v>
      </c>
      <c r="S20" s="103"/>
      <c r="T20" s="57"/>
    </row>
    <row r="21" spans="1:20" ht="19.5" customHeight="1">
      <c r="A21" s="60"/>
      <c r="B21" s="99"/>
      <c r="C21" s="486" t="s">
        <v>74</v>
      </c>
      <c r="D21" s="294">
        <f aca="true" t="shared" si="0" ref="D21:J21">AVERAGE(D9:D20)</f>
        <v>418.60833333333335</v>
      </c>
      <c r="E21" s="294">
        <f t="shared" si="0"/>
        <v>454.03666666666663</v>
      </c>
      <c r="F21" s="295">
        <f t="shared" si="0"/>
        <v>482.70875</v>
      </c>
      <c r="G21" s="294">
        <f t="shared" si="0"/>
        <v>252.39666666666665</v>
      </c>
      <c r="H21" s="294">
        <f t="shared" si="0"/>
        <v>322.3075</v>
      </c>
      <c r="I21" s="295">
        <f t="shared" si="0"/>
        <v>392.14</v>
      </c>
      <c r="J21" s="294">
        <f t="shared" si="0"/>
        <v>316.6983333333333</v>
      </c>
      <c r="K21" s="294">
        <f>AVERAGE(K17:K20)</f>
        <v>492.2525</v>
      </c>
      <c r="L21" s="295">
        <f aca="true" t="shared" si="1" ref="L21:R21">AVERAGE(L9:L20)</f>
        <v>480.16625</v>
      </c>
      <c r="M21" s="294">
        <f t="shared" si="1"/>
        <v>266.99333333333334</v>
      </c>
      <c r="N21" s="294">
        <f t="shared" si="1"/>
        <v>337.16666666666663</v>
      </c>
      <c r="O21" s="295">
        <f t="shared" si="1"/>
        <v>452.14375</v>
      </c>
      <c r="P21" s="294">
        <f t="shared" si="1"/>
        <v>258.85083333333336</v>
      </c>
      <c r="Q21" s="294">
        <f t="shared" si="1"/>
        <v>312.03000000000003</v>
      </c>
      <c r="R21" s="294">
        <f t="shared" si="1"/>
        <v>378.83874999999995</v>
      </c>
      <c r="S21" s="103"/>
      <c r="T21" s="57"/>
    </row>
    <row r="22" spans="1:20" ht="19.5" customHeight="1">
      <c r="A22" s="60"/>
      <c r="B22" s="117"/>
      <c r="C22" s="788" t="s">
        <v>439</v>
      </c>
      <c r="D22" s="296"/>
      <c r="E22" s="296"/>
      <c r="F22" s="296"/>
      <c r="G22" s="296"/>
      <c r="H22" s="296"/>
      <c r="I22" s="296"/>
      <c r="J22" s="297"/>
      <c r="K22" s="297"/>
      <c r="L22" s="296"/>
      <c r="M22" s="297"/>
      <c r="N22" s="297"/>
      <c r="O22" s="296"/>
      <c r="P22" s="297"/>
      <c r="Q22" s="297"/>
      <c r="R22" s="296"/>
      <c r="S22" s="129"/>
      <c r="T22" s="57"/>
    </row>
    <row r="23" spans="1:20" ht="30.75" customHeight="1">
      <c r="A23" s="60"/>
      <c r="B23" s="177"/>
      <c r="C23" s="789" t="s">
        <v>340</v>
      </c>
      <c r="D23" s="298"/>
      <c r="E23" s="298"/>
      <c r="F23" s="298"/>
      <c r="G23" s="298"/>
      <c r="H23" s="298"/>
      <c r="I23" s="298"/>
      <c r="J23" s="299"/>
      <c r="K23" s="299"/>
      <c r="L23" s="298"/>
      <c r="M23" s="299"/>
      <c r="N23" s="299"/>
      <c r="O23" s="298"/>
      <c r="P23" s="299"/>
      <c r="Q23" s="299"/>
      <c r="R23" s="298"/>
      <c r="S23" s="178"/>
      <c r="T23" s="57"/>
    </row>
    <row r="24" spans="1:20" ht="18" customHeight="1">
      <c r="A24" s="57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57"/>
    </row>
    <row r="26" spans="11:15" ht="12.75">
      <c r="K26" s="540"/>
      <c r="L26" s="540"/>
      <c r="M26" s="540"/>
      <c r="N26" s="540"/>
      <c r="O26" s="540"/>
    </row>
  </sheetData>
  <sheetProtection/>
  <mergeCells count="12">
    <mergeCell ref="A1:T1"/>
    <mergeCell ref="D6:F6"/>
    <mergeCell ref="D7:F7"/>
    <mergeCell ref="D8:F8"/>
    <mergeCell ref="G8:I8"/>
    <mergeCell ref="B2:S2"/>
    <mergeCell ref="G7:I7"/>
    <mergeCell ref="J8:L8"/>
    <mergeCell ref="M8:O8"/>
    <mergeCell ref="P8:R8"/>
    <mergeCell ref="C3:R3"/>
    <mergeCell ref="C5:C8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14.7109375" style="0" customWidth="1"/>
    <col min="4" max="4" width="44.57421875" style="0" customWidth="1"/>
    <col min="5" max="5" width="13.7109375" style="0" customWidth="1"/>
    <col min="6" max="6" width="9.7109375" style="0" customWidth="1"/>
    <col min="7" max="7" width="13.7109375" style="0" customWidth="1"/>
    <col min="8" max="8" width="9.7109375" style="0" customWidth="1"/>
    <col min="9" max="9" width="10.7109375" style="0" customWidth="1"/>
    <col min="10" max="10" width="5.7109375" style="0" customWidth="1"/>
    <col min="11" max="11" width="3.57421875" style="0" customWidth="1"/>
  </cols>
  <sheetData>
    <row r="1" spans="1:11" ht="15" customHeight="1">
      <c r="A1" s="1334" t="s">
        <v>411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</row>
    <row r="2" spans="1:11" ht="12" customHeight="1">
      <c r="A2" s="60"/>
      <c r="B2" s="1398"/>
      <c r="C2" s="1399"/>
      <c r="D2" s="1399"/>
      <c r="E2" s="1399"/>
      <c r="F2" s="1399"/>
      <c r="G2" s="1399"/>
      <c r="H2" s="1399"/>
      <c r="I2" s="1399"/>
      <c r="J2" s="1400"/>
      <c r="K2" s="57"/>
    </row>
    <row r="3" spans="1:11" ht="14.25" customHeight="1">
      <c r="A3" s="58"/>
      <c r="B3" s="1401" t="s">
        <v>75</v>
      </c>
      <c r="C3" s="1402"/>
      <c r="D3" s="1402"/>
      <c r="E3" s="1402"/>
      <c r="F3" s="1402"/>
      <c r="G3" s="1402"/>
      <c r="H3" s="1402"/>
      <c r="I3" s="1402"/>
      <c r="J3" s="1403"/>
      <c r="K3" s="57"/>
    </row>
    <row r="4" spans="1:11" ht="18" customHeight="1">
      <c r="A4" s="58"/>
      <c r="B4" s="1401" t="s">
        <v>441</v>
      </c>
      <c r="C4" s="1402"/>
      <c r="D4" s="1402"/>
      <c r="E4" s="1402"/>
      <c r="F4" s="1402"/>
      <c r="G4" s="1402"/>
      <c r="H4" s="1402"/>
      <c r="I4" s="1402"/>
      <c r="J4" s="1403"/>
      <c r="K4" s="57"/>
    </row>
    <row r="5" spans="1:11" ht="18" customHeight="1">
      <c r="A5" s="58"/>
      <c r="B5" s="379"/>
      <c r="C5" s="1404" t="s">
        <v>76</v>
      </c>
      <c r="D5" s="1405"/>
      <c r="E5" s="1408" t="s">
        <v>440</v>
      </c>
      <c r="F5" s="1409"/>
      <c r="G5" s="1408" t="s">
        <v>203</v>
      </c>
      <c r="H5" s="1409"/>
      <c r="I5" s="1410" t="s">
        <v>77</v>
      </c>
      <c r="J5" s="130"/>
      <c r="K5" s="57"/>
    </row>
    <row r="6" spans="1:11" ht="13.5" customHeight="1">
      <c r="A6" s="58"/>
      <c r="B6" s="379"/>
      <c r="C6" s="1406"/>
      <c r="D6" s="1407"/>
      <c r="E6" s="12" t="s">
        <v>78</v>
      </c>
      <c r="F6" s="12" t="s">
        <v>79</v>
      </c>
      <c r="G6" s="12" t="s">
        <v>80</v>
      </c>
      <c r="H6" s="11" t="s">
        <v>79</v>
      </c>
      <c r="I6" s="1411"/>
      <c r="J6" s="130"/>
      <c r="K6" s="57"/>
    </row>
    <row r="7" spans="1:11" ht="13.5" customHeight="1">
      <c r="A7" s="58"/>
      <c r="B7" s="283"/>
      <c r="C7" s="1234" t="s">
        <v>19</v>
      </c>
      <c r="D7" s="1235"/>
      <c r="E7" s="1259">
        <v>27957062</v>
      </c>
      <c r="F7" s="1236">
        <f aca="true" t="shared" si="0" ref="F7:F30">E7/$E$30</f>
        <v>0.3168868403989032</v>
      </c>
      <c r="G7" s="1260">
        <v>31403497</v>
      </c>
      <c r="H7" s="1236">
        <f aca="true" t="shared" si="1" ref="H7:H30">G7/$G$30</f>
        <v>0.32459105745168726</v>
      </c>
      <c r="I7" s="1238">
        <f>(E7/G7-1)*100</f>
        <v>-10.974685398890449</v>
      </c>
      <c r="J7" s="130"/>
      <c r="K7" s="57"/>
    </row>
    <row r="8" spans="1:11" ht="13.5" customHeight="1">
      <c r="A8" s="58"/>
      <c r="B8" s="283"/>
      <c r="C8" s="1234" t="s">
        <v>81</v>
      </c>
      <c r="D8" s="1239"/>
      <c r="E8" s="1233">
        <v>14724197</v>
      </c>
      <c r="F8" s="1240">
        <f t="shared" si="0"/>
        <v>0.16689537207954858</v>
      </c>
      <c r="G8" s="1261">
        <v>17429297</v>
      </c>
      <c r="H8" s="1240">
        <f t="shared" si="1"/>
        <v>0.1801517182583048</v>
      </c>
      <c r="I8" s="1238">
        <f aca="true" t="shared" si="2" ref="I8:I29">(E8/G8-1)*100</f>
        <v>-15.520419440898847</v>
      </c>
      <c r="J8" s="130"/>
      <c r="K8" s="57"/>
    </row>
    <row r="9" spans="1:11" ht="13.5" customHeight="1">
      <c r="A9" s="58"/>
      <c r="B9" s="283"/>
      <c r="C9" s="1234" t="s">
        <v>82</v>
      </c>
      <c r="D9" s="1239"/>
      <c r="E9" s="1233">
        <v>8532375</v>
      </c>
      <c r="F9" s="1240">
        <f t="shared" si="0"/>
        <v>0.09671249986313267</v>
      </c>
      <c r="G9" s="1261">
        <v>10366872</v>
      </c>
      <c r="H9" s="1240">
        <f t="shared" si="1"/>
        <v>0.10715347863794557</v>
      </c>
      <c r="I9" s="1238">
        <f t="shared" si="2"/>
        <v>-17.695762038925533</v>
      </c>
      <c r="J9" s="130"/>
      <c r="K9" s="57"/>
    </row>
    <row r="10" spans="1:11" ht="13.5" customHeight="1">
      <c r="A10" s="58"/>
      <c r="B10" s="283"/>
      <c r="C10" s="1242" t="s">
        <v>83</v>
      </c>
      <c r="D10" s="1243"/>
      <c r="E10" s="1262">
        <v>10333743</v>
      </c>
      <c r="F10" s="1244">
        <f t="shared" si="0"/>
        <v>0.11713059007288687</v>
      </c>
      <c r="G10" s="1263">
        <v>9950706</v>
      </c>
      <c r="H10" s="1244">
        <f t="shared" si="1"/>
        <v>0.10285192706184439</v>
      </c>
      <c r="I10" s="1246">
        <f t="shared" si="2"/>
        <v>3.8493449610510044</v>
      </c>
      <c r="J10" s="130"/>
      <c r="K10" s="57"/>
    </row>
    <row r="11" spans="1:11" ht="13.5" customHeight="1">
      <c r="A11" s="58"/>
      <c r="B11" s="283"/>
      <c r="C11" s="1247" t="s">
        <v>84</v>
      </c>
      <c r="D11" s="1248"/>
      <c r="E11" s="1253">
        <f>E12+E13+E14+E15+E16</f>
        <v>6158740</v>
      </c>
      <c r="F11" s="1250">
        <f t="shared" si="0"/>
        <v>0.0698078953875175</v>
      </c>
      <c r="G11" s="1253">
        <v>6661872</v>
      </c>
      <c r="H11" s="1250">
        <f t="shared" si="1"/>
        <v>0.06885806625573536</v>
      </c>
      <c r="I11" s="1238">
        <f t="shared" si="2"/>
        <v>-7.552411694490679</v>
      </c>
      <c r="J11" s="130"/>
      <c r="K11" s="57"/>
    </row>
    <row r="12" spans="1:11" ht="13.5" customHeight="1">
      <c r="A12" s="58"/>
      <c r="B12" s="283"/>
      <c r="C12" s="1247"/>
      <c r="D12" s="1248" t="s">
        <v>85</v>
      </c>
      <c r="E12" s="1253">
        <v>5555415</v>
      </c>
      <c r="F12" s="1250">
        <f t="shared" si="0"/>
        <v>0.06296934586526555</v>
      </c>
      <c r="G12" s="1264">
        <v>6041101</v>
      </c>
      <c r="H12" s="1250">
        <f t="shared" si="1"/>
        <v>0.0624416879993475</v>
      </c>
      <c r="I12" s="1238">
        <f t="shared" si="2"/>
        <v>-8.039693426744565</v>
      </c>
      <c r="J12" s="130"/>
      <c r="K12" s="57"/>
    </row>
    <row r="13" spans="1:11" ht="13.5" customHeight="1">
      <c r="A13" s="58"/>
      <c r="B13" s="283"/>
      <c r="C13" s="1247"/>
      <c r="D13" s="1248" t="s">
        <v>86</v>
      </c>
      <c r="E13" s="1253">
        <v>556404</v>
      </c>
      <c r="F13" s="1250">
        <f t="shared" si="0"/>
        <v>0.006306710824810966</v>
      </c>
      <c r="G13" s="1264">
        <v>563324</v>
      </c>
      <c r="H13" s="1250">
        <f t="shared" si="1"/>
        <v>0.005822597809661588</v>
      </c>
      <c r="I13" s="1238">
        <f t="shared" si="2"/>
        <v>-1.228422719429667</v>
      </c>
      <c r="J13" s="130"/>
      <c r="K13" s="57"/>
    </row>
    <row r="14" spans="1:11" ht="13.5" customHeight="1">
      <c r="A14" s="58"/>
      <c r="B14" s="283"/>
      <c r="C14" s="1247"/>
      <c r="D14" s="1248" t="s">
        <v>87</v>
      </c>
      <c r="E14" s="1253">
        <v>10079</v>
      </c>
      <c r="F14" s="1250">
        <f t="shared" si="0"/>
        <v>0.00011424313700704835</v>
      </c>
      <c r="G14" s="1264">
        <v>11603</v>
      </c>
      <c r="H14" s="1250">
        <f t="shared" si="1"/>
        <v>0.0001199302752687679</v>
      </c>
      <c r="I14" s="1238">
        <f t="shared" si="2"/>
        <v>-13.134534172196844</v>
      </c>
      <c r="J14" s="130"/>
      <c r="K14" s="57"/>
    </row>
    <row r="15" spans="1:11" ht="13.5" customHeight="1">
      <c r="A15" s="58"/>
      <c r="B15" s="283"/>
      <c r="C15" s="1247"/>
      <c r="D15" s="1248" t="s">
        <v>88</v>
      </c>
      <c r="E15" s="1253">
        <v>36754</v>
      </c>
      <c r="F15" s="1250">
        <f t="shared" si="0"/>
        <v>0.0004165981007597038</v>
      </c>
      <c r="G15" s="1264">
        <v>45830</v>
      </c>
      <c r="H15" s="1250">
        <f t="shared" si="1"/>
        <v>0.00047370546544580136</v>
      </c>
      <c r="I15" s="1238">
        <f t="shared" si="2"/>
        <v>-19.80362208160593</v>
      </c>
      <c r="J15" s="130"/>
      <c r="K15" s="57"/>
    </row>
    <row r="16" spans="1:11" ht="13.5" customHeight="1">
      <c r="A16" s="58"/>
      <c r="B16" s="283"/>
      <c r="C16" s="1254"/>
      <c r="D16" s="1265" t="s">
        <v>89</v>
      </c>
      <c r="E16" s="1266">
        <v>88</v>
      </c>
      <c r="F16" s="1267">
        <f t="shared" si="0"/>
        <v>9.974596742355645E-07</v>
      </c>
      <c r="G16" s="1268">
        <v>15</v>
      </c>
      <c r="H16" s="1267">
        <f t="shared" si="1"/>
        <v>1.5504215539356361E-07</v>
      </c>
      <c r="I16" s="1246">
        <f t="shared" si="2"/>
        <v>486.66666666666663</v>
      </c>
      <c r="J16" s="130"/>
      <c r="K16" s="57"/>
    </row>
    <row r="17" spans="1:11" ht="13.5" customHeight="1">
      <c r="A17" s="58"/>
      <c r="B17" s="283"/>
      <c r="C17" s="1234" t="s">
        <v>90</v>
      </c>
      <c r="D17" s="1239"/>
      <c r="E17" s="1233">
        <v>5878405</v>
      </c>
      <c r="F17" s="1240">
        <f t="shared" si="0"/>
        <v>0.06663036291278084</v>
      </c>
      <c r="G17" s="1261">
        <v>4641435</v>
      </c>
      <c r="H17" s="1240">
        <f t="shared" si="1"/>
        <v>0.04797453910127499</v>
      </c>
      <c r="I17" s="1238">
        <f t="shared" si="2"/>
        <v>26.65059405119321</v>
      </c>
      <c r="J17" s="130"/>
      <c r="K17" s="57"/>
    </row>
    <row r="18" spans="1:11" ht="13.5" customHeight="1">
      <c r="A18" s="58"/>
      <c r="B18" s="283"/>
      <c r="C18" s="1234" t="s">
        <v>91</v>
      </c>
      <c r="D18" s="1239"/>
      <c r="E18" s="1233">
        <v>2713224</v>
      </c>
      <c r="F18" s="1240">
        <f t="shared" si="0"/>
        <v>0.03075376735418313</v>
      </c>
      <c r="G18" s="1261">
        <v>3449009</v>
      </c>
      <c r="H18" s="1240">
        <f t="shared" si="1"/>
        <v>0.035649452622119965</v>
      </c>
      <c r="I18" s="1238">
        <f t="shared" si="2"/>
        <v>-21.333229342109572</v>
      </c>
      <c r="J18" s="130"/>
      <c r="K18" s="57"/>
    </row>
    <row r="19" spans="1:11" ht="13.5" customHeight="1">
      <c r="A19" s="58"/>
      <c r="B19" s="283"/>
      <c r="C19" s="1234" t="s">
        <v>92</v>
      </c>
      <c r="D19" s="1239"/>
      <c r="E19" s="1233">
        <v>2186217</v>
      </c>
      <c r="F19" s="1240">
        <f t="shared" si="0"/>
        <v>0.024780264734411965</v>
      </c>
      <c r="G19" s="1261">
        <v>2501868</v>
      </c>
      <c r="H19" s="1240">
        <f t="shared" si="1"/>
        <v>0.025859667148678947</v>
      </c>
      <c r="I19" s="1238">
        <f t="shared" si="2"/>
        <v>-12.616612866865873</v>
      </c>
      <c r="J19" s="130"/>
      <c r="K19" s="57"/>
    </row>
    <row r="20" spans="1:11" ht="13.5" customHeight="1">
      <c r="A20" s="58"/>
      <c r="B20" s="283"/>
      <c r="C20" s="1234" t="s">
        <v>93</v>
      </c>
      <c r="D20" s="1239"/>
      <c r="E20" s="1233">
        <v>2050442</v>
      </c>
      <c r="F20" s="1240">
        <f t="shared" si="0"/>
        <v>0.02324128646998772</v>
      </c>
      <c r="G20" s="1261">
        <v>2168269</v>
      </c>
      <c r="H20" s="1240">
        <f t="shared" si="1"/>
        <v>0.022411539948869786</v>
      </c>
      <c r="I20" s="1238">
        <f t="shared" si="2"/>
        <v>-5.434150467492738</v>
      </c>
      <c r="J20" s="130"/>
      <c r="K20" s="57"/>
    </row>
    <row r="21" spans="1:11" ht="13.5" customHeight="1">
      <c r="A21" s="58"/>
      <c r="B21" s="283"/>
      <c r="C21" s="1234" t="s">
        <v>94</v>
      </c>
      <c r="D21" s="1239"/>
      <c r="E21" s="1233">
        <v>1776262</v>
      </c>
      <c r="F21" s="1240">
        <f t="shared" si="0"/>
        <v>0.020133519498602412</v>
      </c>
      <c r="G21" s="1261">
        <v>1841766</v>
      </c>
      <c r="H21" s="1240">
        <f t="shared" si="1"/>
        <v>0.01903675802470547</v>
      </c>
      <c r="I21" s="1238">
        <f t="shared" si="2"/>
        <v>-3.5565864501788003</v>
      </c>
      <c r="J21" s="130"/>
      <c r="K21" s="57"/>
    </row>
    <row r="22" spans="1:11" ht="13.5" customHeight="1">
      <c r="A22" s="58"/>
      <c r="B22" s="283"/>
      <c r="C22" s="1234" t="s">
        <v>95</v>
      </c>
      <c r="D22" s="1239"/>
      <c r="E22" s="1233">
        <v>888817</v>
      </c>
      <c r="F22" s="1240">
        <f t="shared" si="0"/>
        <v>0.010074535400852633</v>
      </c>
      <c r="G22" s="1261">
        <v>841296</v>
      </c>
      <c r="H22" s="1240">
        <f t="shared" si="1"/>
        <v>0.008695756344265566</v>
      </c>
      <c r="I22" s="1238">
        <f t="shared" si="2"/>
        <v>5.648547003670523</v>
      </c>
      <c r="J22" s="130"/>
      <c r="K22" s="57"/>
    </row>
    <row r="23" spans="1:11" ht="13.5" customHeight="1">
      <c r="A23" s="58"/>
      <c r="B23" s="380"/>
      <c r="C23" s="1234" t="s">
        <v>96</v>
      </c>
      <c r="D23" s="1239"/>
      <c r="E23" s="1233">
        <v>278158</v>
      </c>
      <c r="F23" s="1240">
        <f t="shared" si="0"/>
        <v>0.0031528566825683654</v>
      </c>
      <c r="G23" s="1261">
        <v>742199</v>
      </c>
      <c r="H23" s="1240">
        <f t="shared" si="1"/>
        <v>0.007671475512729834</v>
      </c>
      <c r="I23" s="1238">
        <f t="shared" si="2"/>
        <v>-62.52245017845619</v>
      </c>
      <c r="J23" s="130"/>
      <c r="K23" s="57"/>
    </row>
    <row r="24" spans="1:11" ht="13.5" customHeight="1">
      <c r="A24" s="58"/>
      <c r="B24" s="380"/>
      <c r="C24" s="1234" t="s">
        <v>97</v>
      </c>
      <c r="D24" s="1239"/>
      <c r="E24" s="1232">
        <v>480905</v>
      </c>
      <c r="F24" s="1240">
        <f>E25/$E$30</f>
        <v>0.004808447050725971</v>
      </c>
      <c r="G24" s="1261">
        <v>485415</v>
      </c>
      <c r="H24" s="1240">
        <f t="shared" si="1"/>
        <v>0.0050173191906911115</v>
      </c>
      <c r="I24" s="1238">
        <f t="shared" si="2"/>
        <v>-0.9291019024957992</v>
      </c>
      <c r="J24" s="130"/>
      <c r="K24" s="57"/>
    </row>
    <row r="25" spans="1:11" ht="13.5" customHeight="1">
      <c r="A25" s="57"/>
      <c r="B25" s="138"/>
      <c r="C25" s="1234" t="s">
        <v>98</v>
      </c>
      <c r="D25" s="1239"/>
      <c r="E25" s="1233">
        <v>424221</v>
      </c>
      <c r="F25" s="1240">
        <f>E26/$E$30</f>
        <v>0.0036178995861426465</v>
      </c>
      <c r="G25" s="1261">
        <v>428043</v>
      </c>
      <c r="H25" s="1240">
        <f t="shared" si="1"/>
        <v>0.00442431395474181</v>
      </c>
      <c r="I25" s="1238">
        <f t="shared" si="2"/>
        <v>-0.892900946867492</v>
      </c>
      <c r="J25" s="130"/>
      <c r="K25" s="57"/>
    </row>
    <row r="26" spans="1:11" ht="13.5" customHeight="1">
      <c r="A26" s="57"/>
      <c r="B26" s="172"/>
      <c r="C26" s="1234" t="s">
        <v>99</v>
      </c>
      <c r="D26" s="1239"/>
      <c r="E26" s="1233">
        <v>319186</v>
      </c>
      <c r="F26" s="1240">
        <f t="shared" si="0"/>
        <v>0.0036178995861426465</v>
      </c>
      <c r="G26" s="1261">
        <v>345407</v>
      </c>
      <c r="H26" s="1240">
        <f t="shared" si="1"/>
        <v>0.003570176384534975</v>
      </c>
      <c r="I26" s="1238">
        <f t="shared" si="2"/>
        <v>-7.591334281007622</v>
      </c>
      <c r="J26" s="130"/>
      <c r="K26" s="57"/>
    </row>
    <row r="27" spans="1:11" ht="13.5" customHeight="1">
      <c r="A27" s="57"/>
      <c r="B27" s="172"/>
      <c r="C27" s="1234" t="s">
        <v>100</v>
      </c>
      <c r="D27" s="1239"/>
      <c r="E27" s="1233">
        <v>374780</v>
      </c>
      <c r="F27" s="1240">
        <f t="shared" si="0"/>
        <v>0.004248044735340965</v>
      </c>
      <c r="G27" s="1261">
        <v>337424</v>
      </c>
      <c r="H27" s="1240">
        <f t="shared" si="1"/>
        <v>0.0034876629494345205</v>
      </c>
      <c r="I27" s="1238">
        <f t="shared" si="2"/>
        <v>11.070937455545549</v>
      </c>
      <c r="J27" s="130"/>
      <c r="K27" s="57"/>
    </row>
    <row r="28" spans="1:11" ht="13.5" customHeight="1">
      <c r="A28" s="57"/>
      <c r="B28" s="172"/>
      <c r="C28" s="1234" t="s">
        <v>101</v>
      </c>
      <c r="D28" s="1239"/>
      <c r="E28" s="1233">
        <v>220162</v>
      </c>
      <c r="F28" s="1240">
        <f t="shared" si="0"/>
        <v>0.002495485418171027</v>
      </c>
      <c r="G28" s="1261">
        <v>207219</v>
      </c>
      <c r="H28" s="1240">
        <f t="shared" si="1"/>
        <v>0.002141845359899924</v>
      </c>
      <c r="I28" s="1238">
        <f t="shared" si="2"/>
        <v>6.246048866175391</v>
      </c>
      <c r="J28" s="130"/>
      <c r="K28" s="57"/>
    </row>
    <row r="29" spans="1:11" ht="15" customHeight="1">
      <c r="A29" s="57"/>
      <c r="B29" s="172"/>
      <c r="C29" s="1234" t="s">
        <v>102</v>
      </c>
      <c r="D29" s="1243"/>
      <c r="E29" s="1258">
        <f>E30-SUM(E7:E11,E17:E28)</f>
        <v>2927222</v>
      </c>
      <c r="F29" s="1244">
        <f t="shared" si="0"/>
        <v>0.033179385256081564</v>
      </c>
      <c r="G29" s="1258">
        <f>G30-SUM(G7:G11,G17:G28)</f>
        <v>2946287</v>
      </c>
      <c r="H29" s="1240">
        <f t="shared" si="1"/>
        <v>0.030453245792535756</v>
      </c>
      <c r="I29" s="1238">
        <f t="shared" si="2"/>
        <v>-0.647085636938971</v>
      </c>
      <c r="J29" s="130"/>
      <c r="K29" s="57"/>
    </row>
    <row r="30" spans="1:11" ht="15" customHeight="1">
      <c r="A30" s="57"/>
      <c r="B30" s="172"/>
      <c r="C30" s="13" t="s">
        <v>103</v>
      </c>
      <c r="D30" s="14"/>
      <c r="E30" s="1128">
        <v>88224118</v>
      </c>
      <c r="F30" s="797">
        <f t="shared" si="0"/>
        <v>1</v>
      </c>
      <c r="G30" s="1128">
        <v>96747881</v>
      </c>
      <c r="H30" s="798">
        <f t="shared" si="1"/>
        <v>1</v>
      </c>
      <c r="I30" s="799">
        <f>(E30/G30-1)*100</f>
        <v>-8.810283917226048</v>
      </c>
      <c r="J30" s="130"/>
      <c r="K30" s="57"/>
    </row>
    <row r="31" spans="1:11" ht="15" customHeight="1">
      <c r="A31" s="57"/>
      <c r="B31" s="111"/>
      <c r="C31" s="1397" t="s">
        <v>104</v>
      </c>
      <c r="D31" s="1397"/>
      <c r="E31" s="1397"/>
      <c r="F31" s="1397"/>
      <c r="G31" s="173"/>
      <c r="H31" s="173"/>
      <c r="I31" s="173"/>
      <c r="J31" s="131"/>
      <c r="K31" s="57"/>
    </row>
    <row r="32" spans="1:11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</sheetData>
  <sheetProtection/>
  <mergeCells count="9">
    <mergeCell ref="A1:K1"/>
    <mergeCell ref="C31:F31"/>
    <mergeCell ref="B2:J2"/>
    <mergeCell ref="B4:J4"/>
    <mergeCell ref="C5:D6"/>
    <mergeCell ref="E5:F5"/>
    <mergeCell ref="G5:H5"/>
    <mergeCell ref="I5:I6"/>
    <mergeCell ref="B3:J3"/>
  </mergeCells>
  <conditionalFormatting sqref="I7:I30">
    <cfRule type="cellIs" priority="7" dxfId="0" operator="lessThan" stopIfTrue="1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4.7109375" style="0" customWidth="1"/>
    <col min="4" max="4" width="42.57421875" style="0" customWidth="1"/>
    <col min="5" max="5" width="13.7109375" style="0" customWidth="1"/>
    <col min="6" max="6" width="9.7109375" style="0" customWidth="1"/>
    <col min="7" max="7" width="13.7109375" style="0" customWidth="1"/>
    <col min="8" max="8" width="11.421875" style="0" customWidth="1"/>
    <col min="9" max="9" width="10.7109375" style="0" customWidth="1"/>
    <col min="10" max="10" width="5.7109375" style="0" customWidth="1"/>
    <col min="11" max="11" width="2.7109375" style="0" customWidth="1"/>
  </cols>
  <sheetData>
    <row r="1" spans="1:11" ht="15" customHeight="1">
      <c r="A1" s="1334" t="s">
        <v>412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</row>
    <row r="2" spans="1:11" ht="18" customHeight="1">
      <c r="A2" s="60"/>
      <c r="B2" s="1398"/>
      <c r="C2" s="1399"/>
      <c r="D2" s="1399"/>
      <c r="E2" s="1399"/>
      <c r="F2" s="1399"/>
      <c r="G2" s="1399"/>
      <c r="H2" s="1399"/>
      <c r="I2" s="1399"/>
      <c r="J2" s="1400"/>
      <c r="K2" s="57"/>
    </row>
    <row r="3" spans="1:11" ht="18" customHeight="1">
      <c r="A3" s="58"/>
      <c r="B3" s="1401" t="s">
        <v>75</v>
      </c>
      <c r="C3" s="1402"/>
      <c r="D3" s="1402"/>
      <c r="E3" s="1402"/>
      <c r="F3" s="1402"/>
      <c r="G3" s="1402"/>
      <c r="H3" s="1402"/>
      <c r="I3" s="1402"/>
      <c r="J3" s="1403"/>
      <c r="K3" s="57"/>
    </row>
    <row r="4" spans="1:11" ht="13.5" customHeight="1">
      <c r="A4" s="58"/>
      <c r="B4" s="1401" t="s">
        <v>442</v>
      </c>
      <c r="C4" s="1402"/>
      <c r="D4" s="1402"/>
      <c r="E4" s="1402"/>
      <c r="F4" s="1402"/>
      <c r="G4" s="1402"/>
      <c r="H4" s="1402"/>
      <c r="I4" s="1402"/>
      <c r="J4" s="1403"/>
      <c r="K4" s="57"/>
    </row>
    <row r="5" spans="1:11" ht="13.5" customHeight="1">
      <c r="A5" s="58"/>
      <c r="B5" s="379"/>
      <c r="C5" s="1404" t="s">
        <v>76</v>
      </c>
      <c r="D5" s="1405"/>
      <c r="E5" s="1408" t="s">
        <v>606</v>
      </c>
      <c r="F5" s="1409"/>
      <c r="G5" s="1408" t="s">
        <v>607</v>
      </c>
      <c r="H5" s="1409"/>
      <c r="I5" s="1410" t="s">
        <v>77</v>
      </c>
      <c r="J5" s="130"/>
      <c r="K5" s="57"/>
    </row>
    <row r="6" spans="1:11" ht="13.5" customHeight="1">
      <c r="A6" s="58"/>
      <c r="B6" s="379"/>
      <c r="C6" s="1406"/>
      <c r="D6" s="1407"/>
      <c r="E6" s="12" t="s">
        <v>78</v>
      </c>
      <c r="F6" s="11" t="s">
        <v>79</v>
      </c>
      <c r="G6" s="12" t="s">
        <v>80</v>
      </c>
      <c r="H6" s="12" t="s">
        <v>79</v>
      </c>
      <c r="I6" s="1411"/>
      <c r="J6" s="130"/>
      <c r="K6" s="57"/>
    </row>
    <row r="7" spans="1:11" ht="13.5" customHeight="1">
      <c r="A7" s="58"/>
      <c r="B7" s="283"/>
      <c r="C7" s="1234" t="s">
        <v>19</v>
      </c>
      <c r="D7" s="1235"/>
      <c r="E7" s="1310">
        <v>22441028.546</v>
      </c>
      <c r="F7" s="1236">
        <f>E7/$E$30</f>
        <v>0.37124581348530317</v>
      </c>
      <c r="G7" s="1312">
        <v>22520404.005</v>
      </c>
      <c r="H7" s="1237">
        <f aca="true" t="shared" si="0" ref="H7:H30">G7/$G$30</f>
        <v>0.37714152452000965</v>
      </c>
      <c r="I7" s="1302">
        <f>(E7/G7-1)*100</f>
        <v>-0.35246019113323035</v>
      </c>
      <c r="J7" s="130"/>
      <c r="K7" s="57"/>
    </row>
    <row r="8" spans="1:11" ht="13.5" customHeight="1">
      <c r="A8" s="58"/>
      <c r="B8" s="283"/>
      <c r="C8" s="1234" t="s">
        <v>81</v>
      </c>
      <c r="D8" s="1239"/>
      <c r="E8" s="1311">
        <v>9408344.381</v>
      </c>
      <c r="F8" s="1240">
        <f>E8/$E$30</f>
        <v>0.1556438670408804</v>
      </c>
      <c r="G8" s="1312">
        <v>9704431.197</v>
      </c>
      <c r="H8" s="1241">
        <f t="shared" si="0"/>
        <v>0.1625167992289809</v>
      </c>
      <c r="I8" s="1302">
        <f aca="true" t="shared" si="1" ref="I8:I30">(E8/G8-1)*100</f>
        <v>-3.051047608967883</v>
      </c>
      <c r="J8" s="130"/>
      <c r="K8" s="57"/>
    </row>
    <row r="9" spans="1:11" ht="13.5" customHeight="1">
      <c r="A9" s="58"/>
      <c r="B9" s="283"/>
      <c r="C9" s="1234" t="s">
        <v>82</v>
      </c>
      <c r="D9" s="1239"/>
      <c r="E9" s="1311">
        <v>6842816.504</v>
      </c>
      <c r="F9" s="1240">
        <f aca="true" t="shared" si="2" ref="F9:F30">E9/$E$30</f>
        <v>0.11320189599825387</v>
      </c>
      <c r="G9" s="1312">
        <v>5314851.523</v>
      </c>
      <c r="H9" s="1241">
        <f t="shared" si="0"/>
        <v>0.08900600564433415</v>
      </c>
      <c r="I9" s="1302">
        <f t="shared" si="1"/>
        <v>28.74896832748266</v>
      </c>
      <c r="J9" s="130"/>
      <c r="K9" s="57"/>
    </row>
    <row r="10" spans="1:11" ht="13.5" customHeight="1">
      <c r="A10" s="58"/>
      <c r="B10" s="283"/>
      <c r="C10" s="1242" t="s">
        <v>83</v>
      </c>
      <c r="D10" s="1243"/>
      <c r="E10" s="1313">
        <v>6709236.231</v>
      </c>
      <c r="F10" s="1244">
        <f t="shared" si="2"/>
        <v>0.11099205445673</v>
      </c>
      <c r="G10" s="1314">
        <v>6746062.817</v>
      </c>
      <c r="H10" s="1245">
        <f t="shared" si="0"/>
        <v>0.11297401302153642</v>
      </c>
      <c r="I10" s="1303">
        <f t="shared" si="1"/>
        <v>-0.545897466403622</v>
      </c>
      <c r="J10" s="130"/>
      <c r="K10" s="57"/>
    </row>
    <row r="11" spans="1:11" ht="13.5" customHeight="1">
      <c r="A11" s="58"/>
      <c r="B11" s="283"/>
      <c r="C11" s="1247" t="s">
        <v>84</v>
      </c>
      <c r="D11" s="1248"/>
      <c r="E11" s="1249">
        <f>SUM(E12+E13+E14+E15+E16)</f>
        <v>3192649.206</v>
      </c>
      <c r="F11" s="1309">
        <f t="shared" si="2"/>
        <v>0.052816547567109774</v>
      </c>
      <c r="G11" s="1307">
        <f>SUM(G12+G13+G14+G15+G16)</f>
        <v>4101248.97</v>
      </c>
      <c r="H11" s="1251">
        <f t="shared" si="0"/>
        <v>0.06868221762977736</v>
      </c>
      <c r="I11" s="1304">
        <f t="shared" si="1"/>
        <v>-22.154221083534964</v>
      </c>
      <c r="J11" s="130"/>
      <c r="K11" s="57"/>
    </row>
    <row r="12" spans="1:11" ht="13.5" customHeight="1">
      <c r="A12" s="58"/>
      <c r="B12" s="283"/>
      <c r="C12" s="1247"/>
      <c r="D12" s="1252" t="s">
        <v>85</v>
      </c>
      <c r="E12" s="1249">
        <f>'12.Exportações'!D13</f>
        <v>2803344.241</v>
      </c>
      <c r="F12" s="1240">
        <f t="shared" si="2"/>
        <v>0.046376208251599486</v>
      </c>
      <c r="G12" s="1308">
        <f>'12.Exportações'!G13</f>
        <v>3685631</v>
      </c>
      <c r="H12" s="1241">
        <f t="shared" si="0"/>
        <v>0.061722005246868474</v>
      </c>
      <c r="I12" s="1302">
        <f t="shared" si="1"/>
        <v>-23.93855377817259</v>
      </c>
      <c r="J12" s="130"/>
      <c r="K12" s="57"/>
    </row>
    <row r="13" spans="1:11" ht="13.5" customHeight="1">
      <c r="A13" s="58"/>
      <c r="B13" s="283"/>
      <c r="C13" s="1247"/>
      <c r="D13" s="1252" t="s">
        <v>86</v>
      </c>
      <c r="E13" s="1249">
        <f>'12.Exportações'!D14</f>
        <v>354084.903</v>
      </c>
      <c r="F13" s="1240">
        <f t="shared" si="2"/>
        <v>0.005857687743128441</v>
      </c>
      <c r="G13" s="1308">
        <f>'12.Exportações'!G14</f>
        <v>380808.065</v>
      </c>
      <c r="H13" s="1241">
        <f t="shared" si="0"/>
        <v>0.0063772627769789845</v>
      </c>
      <c r="I13" s="1302">
        <f t="shared" si="1"/>
        <v>-7.017488455765775</v>
      </c>
      <c r="J13" s="130"/>
      <c r="K13" s="57"/>
    </row>
    <row r="14" spans="1:11" ht="13.5" customHeight="1">
      <c r="A14" s="58"/>
      <c r="B14" s="283"/>
      <c r="C14" s="1247"/>
      <c r="D14" s="1252" t="s">
        <v>87</v>
      </c>
      <c r="E14" s="1249">
        <f>'12.Exportações'!D15</f>
        <v>6802.678</v>
      </c>
      <c r="F14" s="1240">
        <f t="shared" si="2"/>
        <v>0.00011253787778986301</v>
      </c>
      <c r="G14" s="1308">
        <f>'12.Exportações'!G15</f>
        <v>6949.887</v>
      </c>
      <c r="H14" s="1241">
        <f t="shared" si="0"/>
        <v>0.00011638738709304946</v>
      </c>
      <c r="I14" s="1302">
        <f t="shared" si="1"/>
        <v>-2.118149546891912</v>
      </c>
      <c r="J14" s="130"/>
      <c r="K14" s="57"/>
    </row>
    <row r="15" spans="1:11" ht="13.5" customHeight="1">
      <c r="A15" s="58"/>
      <c r="B15" s="283"/>
      <c r="C15" s="1247"/>
      <c r="D15" s="1252" t="s">
        <v>88</v>
      </c>
      <c r="E15" s="1249">
        <f>'12.Exportações'!D16</f>
        <v>28392.44</v>
      </c>
      <c r="F15" s="1240">
        <f t="shared" si="2"/>
        <v>0.0004697010416891727</v>
      </c>
      <c r="G15" s="1308">
        <f>'12.Exportações'!G16</f>
        <v>27829.876</v>
      </c>
      <c r="H15" s="1241">
        <f t="shared" si="0"/>
        <v>0.00046605744104379933</v>
      </c>
      <c r="I15" s="1302">
        <f t="shared" si="1"/>
        <v>2.0214391181620828</v>
      </c>
      <c r="J15" s="130"/>
      <c r="K15" s="57"/>
    </row>
    <row r="16" spans="1:11" ht="13.5" customHeight="1">
      <c r="A16" s="58"/>
      <c r="B16" s="283"/>
      <c r="C16" s="1254"/>
      <c r="D16" s="1255" t="s">
        <v>89</v>
      </c>
      <c r="E16" s="1256">
        <f>'12.Exportações'!D17</f>
        <v>24.944</v>
      </c>
      <c r="F16" s="1257">
        <v>0</v>
      </c>
      <c r="G16" s="1257">
        <f>'12.Exportações'!G17</f>
        <v>30.142</v>
      </c>
      <c r="H16" s="1256">
        <v>0</v>
      </c>
      <c r="I16" s="1303">
        <f t="shared" si="1"/>
        <v>-17.24504014332161</v>
      </c>
      <c r="J16" s="130"/>
      <c r="K16" s="57"/>
    </row>
    <row r="17" spans="1:11" ht="13.5" customHeight="1">
      <c r="A17" s="58"/>
      <c r="B17" s="283"/>
      <c r="C17" s="1234" t="s">
        <v>90</v>
      </c>
      <c r="D17" s="1239"/>
      <c r="E17" s="1311">
        <v>3086498.537</v>
      </c>
      <c r="F17" s="1240">
        <f t="shared" si="2"/>
        <v>0.051060478704930176</v>
      </c>
      <c r="G17" s="1312">
        <v>2253734.711</v>
      </c>
      <c r="H17" s="1241">
        <f t="shared" si="0"/>
        <v>0.0377425264920421</v>
      </c>
      <c r="I17" s="1302">
        <f t="shared" si="1"/>
        <v>36.95039269420028</v>
      </c>
      <c r="J17" s="130"/>
      <c r="K17" s="57"/>
    </row>
    <row r="18" spans="1:11" ht="13.5" customHeight="1">
      <c r="A18" s="58"/>
      <c r="B18" s="283"/>
      <c r="C18" s="1234" t="s">
        <v>91</v>
      </c>
      <c r="D18" s="1239"/>
      <c r="E18" s="1311">
        <v>1685107.275</v>
      </c>
      <c r="F18" s="1240">
        <f t="shared" si="2"/>
        <v>0.027877020869833773</v>
      </c>
      <c r="G18" s="1312">
        <v>1888180.106</v>
      </c>
      <c r="H18" s="1241">
        <f t="shared" si="0"/>
        <v>0.03162070820697044</v>
      </c>
      <c r="I18" s="1302">
        <f t="shared" si="1"/>
        <v>-10.75495024837424</v>
      </c>
      <c r="J18" s="130"/>
      <c r="K18" s="57"/>
    </row>
    <row r="19" spans="1:11" ht="13.5" customHeight="1">
      <c r="A19" s="58"/>
      <c r="B19" s="283"/>
      <c r="C19" s="1234" t="s">
        <v>92</v>
      </c>
      <c r="D19" s="1239"/>
      <c r="E19" s="1311">
        <v>1276464.275</v>
      </c>
      <c r="F19" s="1240">
        <f t="shared" si="2"/>
        <v>0.02111676909932766</v>
      </c>
      <c r="G19" s="1301">
        <v>1276464.275</v>
      </c>
      <c r="H19" s="1241">
        <f t="shared" si="0"/>
        <v>0.02137651183175694</v>
      </c>
      <c r="I19" s="1302">
        <f t="shared" si="1"/>
        <v>0</v>
      </c>
      <c r="J19" s="130"/>
      <c r="K19" s="57"/>
    </row>
    <row r="20" spans="1:11" ht="13.5" customHeight="1">
      <c r="A20" s="58"/>
      <c r="B20" s="283"/>
      <c r="C20" s="1234" t="s">
        <v>93</v>
      </c>
      <c r="D20" s="1239"/>
      <c r="E20" s="1311">
        <v>1403506.18</v>
      </c>
      <c r="F20" s="1240">
        <f t="shared" si="2"/>
        <v>0.02321844528906961</v>
      </c>
      <c r="G20" s="1312">
        <v>1401962.341</v>
      </c>
      <c r="H20" s="1241">
        <f t="shared" si="0"/>
        <v>0.023478185137664084</v>
      </c>
      <c r="I20" s="1302">
        <f t="shared" si="1"/>
        <v>0.11011986234228388</v>
      </c>
      <c r="J20" s="130"/>
      <c r="K20" s="57"/>
    </row>
    <row r="21" spans="1:11" ht="13.5" customHeight="1">
      <c r="A21" s="58"/>
      <c r="B21" s="283"/>
      <c r="C21" s="1234" t="s">
        <v>94</v>
      </c>
      <c r="D21" s="1239"/>
      <c r="E21" s="1311">
        <v>931555.812</v>
      </c>
      <c r="F21" s="1240">
        <f t="shared" si="2"/>
        <v>0.015410888788987604</v>
      </c>
      <c r="G21" s="1312">
        <v>802411.534</v>
      </c>
      <c r="H21" s="1241">
        <f t="shared" si="0"/>
        <v>0.013437712270082324</v>
      </c>
      <c r="I21" s="1302">
        <f t="shared" si="1"/>
        <v>16.094519149820698</v>
      </c>
      <c r="J21" s="130"/>
      <c r="K21" s="57"/>
    </row>
    <row r="22" spans="1:11" ht="13.5" customHeight="1">
      <c r="A22" s="58"/>
      <c r="B22" s="283"/>
      <c r="C22" s="1234" t="s">
        <v>95</v>
      </c>
      <c r="D22" s="1239"/>
      <c r="E22" s="1311">
        <v>431907.386</v>
      </c>
      <c r="F22" s="1240">
        <f t="shared" si="2"/>
        <v>0.007145118528645218</v>
      </c>
      <c r="G22" s="1312">
        <v>447890.365</v>
      </c>
      <c r="H22" s="1241">
        <f t="shared" si="0"/>
        <v>0.007500667174373082</v>
      </c>
      <c r="I22" s="1302">
        <f t="shared" si="1"/>
        <v>-3.568502528514983</v>
      </c>
      <c r="J22" s="130"/>
      <c r="K22" s="57"/>
    </row>
    <row r="23" spans="1:11" ht="13.5" customHeight="1">
      <c r="A23" s="57"/>
      <c r="B23" s="380"/>
      <c r="C23" s="1234" t="s">
        <v>96</v>
      </c>
      <c r="D23" s="1239"/>
      <c r="E23" s="1311">
        <v>187507.424</v>
      </c>
      <c r="F23" s="1240">
        <f t="shared" si="2"/>
        <v>0.003101967720183732</v>
      </c>
      <c r="G23" s="1312">
        <v>211267.588</v>
      </c>
      <c r="H23" s="1241">
        <f t="shared" si="0"/>
        <v>0.0035380262362209474</v>
      </c>
      <c r="I23" s="1302">
        <f t="shared" si="1"/>
        <v>-11.246478565372742</v>
      </c>
      <c r="J23" s="130"/>
      <c r="K23" s="57"/>
    </row>
    <row r="24" spans="1:11" ht="13.5" customHeight="1">
      <c r="A24" s="57"/>
      <c r="B24" s="380"/>
      <c r="C24" s="1234" t="s">
        <v>97</v>
      </c>
      <c r="D24" s="1239"/>
      <c r="E24" s="1311">
        <v>221487.229</v>
      </c>
      <c r="F24" s="1240">
        <f t="shared" si="2"/>
        <v>0.0036641015066739015</v>
      </c>
      <c r="G24" s="1312">
        <v>254050.662</v>
      </c>
      <c r="H24" s="1241">
        <f t="shared" si="0"/>
        <v>0.004254499783872669</v>
      </c>
      <c r="I24" s="1302">
        <f t="shared" si="1"/>
        <v>-12.817692638014078</v>
      </c>
      <c r="J24" s="130"/>
      <c r="K24" s="57"/>
    </row>
    <row r="25" spans="1:11" ht="13.5" customHeight="1">
      <c r="A25" s="57"/>
      <c r="B25" s="138"/>
      <c r="C25" s="1234" t="s">
        <v>98</v>
      </c>
      <c r="D25" s="1239"/>
      <c r="E25" s="1311">
        <v>213935.873</v>
      </c>
      <c r="F25" s="1240">
        <f t="shared" si="2"/>
        <v>0.003539178119343831</v>
      </c>
      <c r="G25" s="1312">
        <v>282438.02</v>
      </c>
      <c r="H25" s="1241">
        <f t="shared" si="0"/>
        <v>0.004729893185822223</v>
      </c>
      <c r="I25" s="1302">
        <f t="shared" si="1"/>
        <v>-24.25386886652159</v>
      </c>
      <c r="J25" s="130"/>
      <c r="K25" s="57"/>
    </row>
    <row r="26" spans="1:11" ht="13.5" customHeight="1">
      <c r="A26" s="57"/>
      <c r="B26" s="172"/>
      <c r="C26" s="1234" t="s">
        <v>99</v>
      </c>
      <c r="D26" s="1239"/>
      <c r="E26" s="1311">
        <v>96067.788</v>
      </c>
      <c r="F26" s="1240">
        <f t="shared" si="2"/>
        <v>0.001589266019277477</v>
      </c>
      <c r="G26" s="1312">
        <v>189117.908</v>
      </c>
      <c r="H26" s="1241">
        <f t="shared" si="0"/>
        <v>0.0031670931001646094</v>
      </c>
      <c r="I26" s="1302">
        <f t="shared" si="1"/>
        <v>-49.202172858214986</v>
      </c>
      <c r="J26" s="130"/>
      <c r="K26" s="57"/>
    </row>
    <row r="27" spans="1:11" ht="13.5" customHeight="1">
      <c r="A27" s="57"/>
      <c r="B27" s="172"/>
      <c r="C27" s="1234" t="s">
        <v>100</v>
      </c>
      <c r="D27" s="1239"/>
      <c r="E27" s="1311">
        <v>257404.067</v>
      </c>
      <c r="F27" s="1240">
        <f t="shared" si="2"/>
        <v>0.004258279964840275</v>
      </c>
      <c r="G27" s="1312">
        <v>224033.708</v>
      </c>
      <c r="H27" s="1241">
        <f t="shared" si="0"/>
        <v>0.003751816093540401</v>
      </c>
      <c r="I27" s="1302">
        <f t="shared" si="1"/>
        <v>14.895240228760564</v>
      </c>
      <c r="J27" s="130"/>
      <c r="K27" s="57"/>
    </row>
    <row r="28" spans="1:11" ht="13.5" customHeight="1">
      <c r="A28" s="57"/>
      <c r="B28" s="172"/>
      <c r="C28" s="1234" t="s">
        <v>101</v>
      </c>
      <c r="D28" s="1239"/>
      <c r="E28" s="1311">
        <v>149014.309</v>
      </c>
      <c r="F28" s="1240">
        <f t="shared" si="2"/>
        <v>0.002465169466375284</v>
      </c>
      <c r="G28" s="1312">
        <v>128910.273</v>
      </c>
      <c r="H28" s="1241">
        <f t="shared" si="0"/>
        <v>0.0021588163726865895</v>
      </c>
      <c r="I28" s="1302">
        <f t="shared" si="1"/>
        <v>15.595371518606594</v>
      </c>
      <c r="J28" s="130"/>
      <c r="K28" s="57"/>
    </row>
    <row r="29" spans="1:11" ht="15" customHeight="1">
      <c r="A29" s="57"/>
      <c r="B29" s="172"/>
      <c r="C29" s="1234" t="s">
        <v>102</v>
      </c>
      <c r="D29" s="1243"/>
      <c r="E29" s="1258">
        <f>E30-SUM(E7:E11,E17:E28)</f>
        <v>1913365.574999988</v>
      </c>
      <c r="F29" s="1244">
        <f t="shared" si="2"/>
        <v>0.03165313737423404</v>
      </c>
      <c r="G29" s="1258">
        <f>G30-SUM(G7:G11,G17:G28)</f>
        <v>1965943.4299999923</v>
      </c>
      <c r="H29" s="1245">
        <f t="shared" si="0"/>
        <v>0.03292298407016495</v>
      </c>
      <c r="I29" s="1305">
        <f t="shared" si="1"/>
        <v>-2.6744337704571852</v>
      </c>
      <c r="J29" s="130"/>
      <c r="K29" s="57"/>
    </row>
    <row r="30" spans="1:11" ht="12.75">
      <c r="A30" s="57"/>
      <c r="B30" s="172"/>
      <c r="C30" s="13" t="s">
        <v>103</v>
      </c>
      <c r="D30" s="14"/>
      <c r="E30" s="1315">
        <v>60447896.598</v>
      </c>
      <c r="F30" s="1316">
        <f t="shared" si="2"/>
        <v>1</v>
      </c>
      <c r="G30" s="1317">
        <v>59713403.433</v>
      </c>
      <c r="H30" s="798">
        <f t="shared" si="0"/>
        <v>1</v>
      </c>
      <c r="I30" s="1306">
        <f t="shared" si="1"/>
        <v>1.2300306510315107</v>
      </c>
      <c r="J30" s="130"/>
      <c r="K30" s="57"/>
    </row>
    <row r="31" spans="1:11" ht="15" customHeight="1">
      <c r="A31" s="57"/>
      <c r="B31" s="111"/>
      <c r="C31" s="1397" t="s">
        <v>104</v>
      </c>
      <c r="D31" s="1397"/>
      <c r="E31" s="1397"/>
      <c r="F31" s="1397"/>
      <c r="G31" s="173"/>
      <c r="H31" s="173"/>
      <c r="I31" s="173"/>
      <c r="J31" s="131"/>
      <c r="K31" s="57"/>
    </row>
    <row r="32" spans="1:11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</sheetData>
  <sheetProtection/>
  <mergeCells count="9">
    <mergeCell ref="A1:K1"/>
    <mergeCell ref="C31:F31"/>
    <mergeCell ref="C5:D6"/>
    <mergeCell ref="E5:F5"/>
    <mergeCell ref="G5:H5"/>
    <mergeCell ref="I5:I6"/>
    <mergeCell ref="B2:J2"/>
    <mergeCell ref="B4:J4"/>
    <mergeCell ref="B3:J3"/>
  </mergeCells>
  <conditionalFormatting sqref="I7:I30">
    <cfRule type="cellIs" priority="2" dxfId="0" operator="lessThan" stopIfTrue="1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2.7109375" style="0" customWidth="1"/>
    <col min="2" max="2" width="12.140625" style="0" customWidth="1"/>
    <col min="3" max="3" width="24.28125" style="0" customWidth="1"/>
    <col min="4" max="9" width="13.7109375" style="0" customWidth="1"/>
    <col min="10" max="10" width="10.57421875" style="0" customWidth="1"/>
    <col min="11" max="11" width="2.7109375" style="0" customWidth="1"/>
  </cols>
  <sheetData>
    <row r="1" spans="1:11" ht="15" customHeight="1">
      <c r="A1" s="1334" t="s">
        <v>413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</row>
    <row r="2" spans="1:11" ht="18" customHeight="1">
      <c r="A2" s="58"/>
      <c r="B2" s="280"/>
      <c r="C2" s="381"/>
      <c r="D2" s="381"/>
      <c r="E2" s="381"/>
      <c r="F2" s="381"/>
      <c r="G2" s="381"/>
      <c r="H2" s="381"/>
      <c r="I2" s="381"/>
      <c r="J2" s="281"/>
      <c r="K2" s="58"/>
    </row>
    <row r="3" spans="1:11" ht="18" customHeight="1">
      <c r="A3" s="58"/>
      <c r="B3" s="1416" t="s">
        <v>157</v>
      </c>
      <c r="C3" s="1417"/>
      <c r="D3" s="1417"/>
      <c r="E3" s="1417"/>
      <c r="F3" s="1417"/>
      <c r="G3" s="1417"/>
      <c r="H3" s="1417"/>
      <c r="I3" s="1417"/>
      <c r="J3" s="1418"/>
      <c r="K3" s="57"/>
    </row>
    <row r="4" spans="1:11" ht="18" customHeight="1" thickBot="1">
      <c r="A4" s="58"/>
      <c r="B4" s="1416"/>
      <c r="C4" s="1417"/>
      <c r="D4" s="1417"/>
      <c r="E4" s="1417"/>
      <c r="F4" s="1417"/>
      <c r="G4" s="1417"/>
      <c r="H4" s="1417"/>
      <c r="I4" s="1417"/>
      <c r="J4" s="1418"/>
      <c r="K4" s="57"/>
    </row>
    <row r="5" spans="1:11" ht="18" customHeight="1">
      <c r="A5" s="58"/>
      <c r="B5" s="379"/>
      <c r="C5" s="1412" t="s">
        <v>84</v>
      </c>
      <c r="D5" s="1419" t="s">
        <v>602</v>
      </c>
      <c r="E5" s="1415"/>
      <c r="F5" s="1419" t="s">
        <v>603</v>
      </c>
      <c r="G5" s="1415"/>
      <c r="H5" s="1420" t="s">
        <v>105</v>
      </c>
      <c r="I5" s="1421"/>
      <c r="J5" s="130"/>
      <c r="K5" s="57"/>
    </row>
    <row r="6" spans="1:11" ht="18" customHeight="1">
      <c r="A6" s="58"/>
      <c r="B6" s="379"/>
      <c r="C6" s="1413"/>
      <c r="D6" s="306" t="s">
        <v>106</v>
      </c>
      <c r="E6" s="306" t="s">
        <v>328</v>
      </c>
      <c r="F6" s="306" t="s">
        <v>106</v>
      </c>
      <c r="G6" s="306" t="s">
        <v>328</v>
      </c>
      <c r="H6" s="1422" t="s">
        <v>447</v>
      </c>
      <c r="I6" s="1423"/>
      <c r="J6" s="130"/>
      <c r="K6" s="57"/>
    </row>
    <row r="7" spans="1:11" ht="18" customHeight="1" thickBot="1">
      <c r="A7" s="58"/>
      <c r="B7" s="379"/>
      <c r="C7" s="225"/>
      <c r="D7" s="307" t="s">
        <v>111</v>
      </c>
      <c r="E7" s="307" t="s">
        <v>110</v>
      </c>
      <c r="F7" s="307" t="s">
        <v>111</v>
      </c>
      <c r="G7" s="307" t="s">
        <v>110</v>
      </c>
      <c r="H7" s="307" t="s">
        <v>106</v>
      </c>
      <c r="I7" s="308" t="s">
        <v>328</v>
      </c>
      <c r="J7" s="130"/>
      <c r="K7" s="57"/>
    </row>
    <row r="8" spans="1:11" ht="18" customHeight="1">
      <c r="A8" s="58"/>
      <c r="B8" s="283"/>
      <c r="C8" s="525" t="s">
        <v>13</v>
      </c>
      <c r="D8" s="793">
        <v>27608</v>
      </c>
      <c r="E8" s="793">
        <v>231.374</v>
      </c>
      <c r="F8" s="1297">
        <v>27302</v>
      </c>
      <c r="G8" s="793">
        <v>525.95</v>
      </c>
      <c r="H8" s="527">
        <f aca="true" t="shared" si="0" ref="H8:I11">SUM(D8-F8)*100/F8</f>
        <v>1.1207970112079702</v>
      </c>
      <c r="I8" s="528">
        <f t="shared" si="0"/>
        <v>-56.008365814240896</v>
      </c>
      <c r="J8" s="130"/>
      <c r="K8" s="57"/>
    </row>
    <row r="9" spans="1:11" ht="18" customHeight="1">
      <c r="A9" s="58"/>
      <c r="B9" s="283"/>
      <c r="C9" s="525" t="s">
        <v>112</v>
      </c>
      <c r="D9" s="1231">
        <v>1423694</v>
      </c>
      <c r="E9" s="794">
        <v>6202.13333333333</v>
      </c>
      <c r="F9" s="1298">
        <v>59942</v>
      </c>
      <c r="G9" s="794">
        <v>292.98</v>
      </c>
      <c r="H9" s="527">
        <f t="shared" si="0"/>
        <v>2275.1192819725734</v>
      </c>
      <c r="I9" s="528">
        <f t="shared" si="0"/>
        <v>2016.9135549639327</v>
      </c>
      <c r="J9" s="130"/>
      <c r="K9" s="57"/>
    </row>
    <row r="10" spans="1:11" ht="18" customHeight="1">
      <c r="A10" s="58"/>
      <c r="B10" s="283"/>
      <c r="C10" s="525" t="s">
        <v>158</v>
      </c>
      <c r="D10" s="1230">
        <v>34882336</v>
      </c>
      <c r="E10" s="794">
        <v>39930.7273333333</v>
      </c>
      <c r="F10" s="1298">
        <v>50550509</v>
      </c>
      <c r="G10" s="1202">
        <v>54760.1438333333</v>
      </c>
      <c r="H10" s="527">
        <f t="shared" si="0"/>
        <v>-30.9950845400983</v>
      </c>
      <c r="I10" s="528">
        <f t="shared" si="0"/>
        <v>-27.080674852013658</v>
      </c>
      <c r="J10" s="130"/>
      <c r="K10" s="57"/>
    </row>
    <row r="11" spans="1:11" ht="18" customHeight="1">
      <c r="A11" s="58"/>
      <c r="B11" s="283"/>
      <c r="C11" s="529" t="s">
        <v>114</v>
      </c>
      <c r="D11" s="794">
        <v>3287059</v>
      </c>
      <c r="E11" s="490">
        <v>15085.9803333333</v>
      </c>
      <c r="F11" s="1298">
        <v>12585986</v>
      </c>
      <c r="G11" s="794">
        <v>49558.8603333333</v>
      </c>
      <c r="H11" s="531">
        <f t="shared" si="0"/>
        <v>-73.88318245388164</v>
      </c>
      <c r="I11" s="532">
        <f t="shared" si="0"/>
        <v>-69.55946881775556</v>
      </c>
      <c r="J11" s="130"/>
      <c r="K11" s="57"/>
    </row>
    <row r="12" spans="1:11" ht="18" customHeight="1" thickBot="1">
      <c r="A12" s="58"/>
      <c r="B12" s="283"/>
      <c r="C12" s="751" t="s">
        <v>278</v>
      </c>
      <c r="D12" s="795">
        <v>0</v>
      </c>
      <c r="E12" s="795">
        <v>0</v>
      </c>
      <c r="F12" s="1299">
        <v>2389</v>
      </c>
      <c r="G12" s="795">
        <v>20.368</v>
      </c>
      <c r="H12" s="533">
        <v>0</v>
      </c>
      <c r="I12" s="534">
        <v>0</v>
      </c>
      <c r="J12" s="130"/>
      <c r="K12" s="57"/>
    </row>
    <row r="13" spans="1:11" ht="18" customHeight="1" thickBot="1">
      <c r="A13" s="58"/>
      <c r="B13" s="283"/>
      <c r="C13" s="309" t="s">
        <v>115</v>
      </c>
      <c r="D13" s="535">
        <f>SUM(D8:D12)</f>
        <v>39620697</v>
      </c>
      <c r="E13" s="535">
        <f>SUM(E8:E12)</f>
        <v>61450.214999999924</v>
      </c>
      <c r="F13" s="535">
        <f>SUM(F8:F12)</f>
        <v>63226128</v>
      </c>
      <c r="G13" s="535">
        <f>SUM(G8:G12)</f>
        <v>105158.3021666666</v>
      </c>
      <c r="H13" s="536">
        <f>SUM(D13-F13)*100/F13</f>
        <v>-37.334930584393845</v>
      </c>
      <c r="I13" s="537">
        <f>SUM(E13-G13)*100/G13</f>
        <v>-41.56408601709186</v>
      </c>
      <c r="J13" s="130"/>
      <c r="K13" s="57"/>
    </row>
    <row r="14" spans="1:11" ht="18" customHeight="1" thickBot="1">
      <c r="A14" s="58"/>
      <c r="B14" s="283"/>
      <c r="C14" s="191"/>
      <c r="D14" s="191"/>
      <c r="E14" s="191"/>
      <c r="F14" s="192"/>
      <c r="G14" s="192"/>
      <c r="H14" s="192"/>
      <c r="I14" s="193"/>
      <c r="J14" s="130"/>
      <c r="K14" s="57"/>
    </row>
    <row r="15" spans="1:11" ht="18" customHeight="1">
      <c r="A15" s="58"/>
      <c r="B15" s="283"/>
      <c r="C15" s="1412" t="s">
        <v>84</v>
      </c>
      <c r="D15" s="1414" t="s">
        <v>165</v>
      </c>
      <c r="E15" s="1415"/>
      <c r="F15" s="1414" t="s">
        <v>203</v>
      </c>
      <c r="G15" s="1415"/>
      <c r="H15" s="1414" t="s">
        <v>440</v>
      </c>
      <c r="I15" s="1415"/>
      <c r="J15" s="130"/>
      <c r="K15" s="57"/>
    </row>
    <row r="16" spans="1:11" ht="18" customHeight="1">
      <c r="A16" s="58"/>
      <c r="B16" s="283"/>
      <c r="C16" s="1413"/>
      <c r="D16" s="306" t="s">
        <v>106</v>
      </c>
      <c r="E16" s="306" t="s">
        <v>328</v>
      </c>
      <c r="F16" s="306" t="s">
        <v>106</v>
      </c>
      <c r="G16" s="306" t="s">
        <v>328</v>
      </c>
      <c r="H16" s="306" t="s">
        <v>106</v>
      </c>
      <c r="I16" s="422" t="s">
        <v>328</v>
      </c>
      <c r="J16" s="130"/>
      <c r="K16" s="57"/>
    </row>
    <row r="17" spans="1:11" ht="18" customHeight="1" thickBot="1">
      <c r="A17" s="58"/>
      <c r="B17" s="283"/>
      <c r="C17" s="225"/>
      <c r="D17" s="307" t="s">
        <v>111</v>
      </c>
      <c r="E17" s="307" t="s">
        <v>110</v>
      </c>
      <c r="F17" s="307" t="s">
        <v>111</v>
      </c>
      <c r="G17" s="307" t="s">
        <v>110</v>
      </c>
      <c r="H17" s="307" t="s">
        <v>111</v>
      </c>
      <c r="I17" s="308" t="s">
        <v>110</v>
      </c>
      <c r="J17" s="130"/>
      <c r="K17" s="57"/>
    </row>
    <row r="18" spans="1:11" ht="18" customHeight="1">
      <c r="A18" s="58"/>
      <c r="B18" s="283"/>
      <c r="C18" s="15" t="s">
        <v>13</v>
      </c>
      <c r="D18" s="16">
        <v>139325</v>
      </c>
      <c r="E18" s="16">
        <v>500</v>
      </c>
      <c r="F18" s="516">
        <v>35635</v>
      </c>
      <c r="G18" s="516">
        <v>256.95</v>
      </c>
      <c r="H18" s="516">
        <v>28836</v>
      </c>
      <c r="I18" s="526">
        <v>942.634</v>
      </c>
      <c r="J18" s="125"/>
      <c r="K18" s="115"/>
    </row>
    <row r="19" spans="1:11" ht="18" customHeight="1">
      <c r="A19" s="58"/>
      <c r="B19" s="283"/>
      <c r="C19" s="15" t="s">
        <v>112</v>
      </c>
      <c r="D19" s="16">
        <v>361438</v>
      </c>
      <c r="E19" s="16">
        <v>435</v>
      </c>
      <c r="F19" s="516">
        <v>95261</v>
      </c>
      <c r="G19" s="516">
        <v>577.7</v>
      </c>
      <c r="H19" s="516">
        <v>359174</v>
      </c>
      <c r="I19" s="526">
        <v>1506</v>
      </c>
      <c r="J19" s="125"/>
      <c r="K19" s="115"/>
    </row>
    <row r="20" spans="1:11" ht="18" customHeight="1">
      <c r="A20" s="58"/>
      <c r="B20" s="283"/>
      <c r="C20" s="15" t="s">
        <v>158</v>
      </c>
      <c r="D20" s="16">
        <v>32092593</v>
      </c>
      <c r="E20" s="16">
        <v>32780</v>
      </c>
      <c r="F20" s="516">
        <v>47884086</v>
      </c>
      <c r="G20" s="516">
        <v>48577.17</v>
      </c>
      <c r="H20" s="516">
        <v>67041713</v>
      </c>
      <c r="I20" s="526">
        <v>80517.6</v>
      </c>
      <c r="J20" s="125"/>
      <c r="K20" s="115"/>
    </row>
    <row r="21" spans="1:11" ht="18" customHeight="1">
      <c r="A21" s="58"/>
      <c r="B21" s="283"/>
      <c r="C21" s="224" t="s">
        <v>114</v>
      </c>
      <c r="D21" s="421">
        <v>7538246</v>
      </c>
      <c r="E21" s="421">
        <v>28903</v>
      </c>
      <c r="F21" s="530">
        <v>11985311</v>
      </c>
      <c r="G21" s="530">
        <v>43141.06</v>
      </c>
      <c r="H21" s="530">
        <v>16590835</v>
      </c>
      <c r="I21" s="532">
        <v>66068.64</v>
      </c>
      <c r="J21" s="125"/>
      <c r="K21" s="115"/>
    </row>
    <row r="22" spans="1:11" ht="18" customHeight="1" thickBot="1">
      <c r="A22" s="58"/>
      <c r="B22" s="283"/>
      <c r="C22" s="228" t="s">
        <v>278</v>
      </c>
      <c r="D22" s="16">
        <v>1662</v>
      </c>
      <c r="E22" s="16">
        <v>6</v>
      </c>
      <c r="F22" s="519">
        <v>1260</v>
      </c>
      <c r="G22" s="519">
        <v>8.23</v>
      </c>
      <c r="H22" s="519">
        <v>2389</v>
      </c>
      <c r="I22" s="534">
        <v>20.3</v>
      </c>
      <c r="J22" s="125"/>
      <c r="K22" s="115"/>
    </row>
    <row r="23" spans="1:11" ht="18" customHeight="1" thickBot="1">
      <c r="A23" s="58"/>
      <c r="B23" s="283"/>
      <c r="C23" s="309" t="s">
        <v>115</v>
      </c>
      <c r="D23" s="315">
        <f aca="true" t="shared" si="1" ref="D23:I23">SUM(D18:D22)</f>
        <v>40133264</v>
      </c>
      <c r="E23" s="315">
        <f t="shared" si="1"/>
        <v>62624</v>
      </c>
      <c r="F23" s="315">
        <f t="shared" si="1"/>
        <v>60001553</v>
      </c>
      <c r="G23" s="315">
        <f t="shared" si="1"/>
        <v>92561.11</v>
      </c>
      <c r="H23" s="423">
        <f t="shared" si="1"/>
        <v>84022947</v>
      </c>
      <c r="I23" s="424">
        <f t="shared" si="1"/>
        <v>149055.174</v>
      </c>
      <c r="J23" s="130"/>
      <c r="K23" s="57"/>
    </row>
    <row r="24" spans="1:11" ht="18" customHeight="1">
      <c r="A24" s="57"/>
      <c r="B24" s="283"/>
      <c r="C24" s="397" t="s">
        <v>116</v>
      </c>
      <c r="D24" s="191"/>
      <c r="E24" s="191"/>
      <c r="F24" s="192"/>
      <c r="G24" s="192"/>
      <c r="H24" s="192"/>
      <c r="I24" s="193"/>
      <c r="J24" s="130"/>
      <c r="K24" s="57"/>
    </row>
    <row r="25" spans="1:11" ht="18" customHeight="1">
      <c r="A25" s="57"/>
      <c r="B25" s="283"/>
      <c r="C25" s="397" t="s">
        <v>320</v>
      </c>
      <c r="D25" s="191"/>
      <c r="E25" s="191"/>
      <c r="F25" s="192"/>
      <c r="G25" s="192"/>
      <c r="H25" s="192"/>
      <c r="I25" s="193"/>
      <c r="J25" s="130"/>
      <c r="K25" s="57"/>
    </row>
    <row r="26" spans="1:11" ht="18" customHeight="1">
      <c r="A26" s="57"/>
      <c r="B26" s="111"/>
      <c r="C26" s="425"/>
      <c r="D26" s="426"/>
      <c r="E26" s="426"/>
      <c r="F26" s="427"/>
      <c r="G26" s="427"/>
      <c r="H26" s="427"/>
      <c r="I26" s="428"/>
      <c r="J26" s="131"/>
      <c r="K26" s="57"/>
    </row>
    <row r="27" spans="1:11" ht="1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3:7" ht="12.75">
      <c r="C28" s="3"/>
      <c r="D28" s="3"/>
      <c r="E28" s="3"/>
      <c r="F28" s="3"/>
      <c r="G28" s="3"/>
    </row>
    <row r="29" spans="3:7" ht="12.75">
      <c r="C29" s="3"/>
      <c r="D29" s="3"/>
      <c r="E29" s="3"/>
      <c r="F29" s="3"/>
      <c r="G29" s="3"/>
    </row>
  </sheetData>
  <sheetProtection/>
  <mergeCells count="12">
    <mergeCell ref="A1:K1"/>
    <mergeCell ref="C15:C16"/>
    <mergeCell ref="D15:E15"/>
    <mergeCell ref="F15:G15"/>
    <mergeCell ref="H15:I15"/>
    <mergeCell ref="B3:J3"/>
    <mergeCell ref="C5:C6"/>
    <mergeCell ref="D5:E5"/>
    <mergeCell ref="F5:G5"/>
    <mergeCell ref="B4:J4"/>
    <mergeCell ref="H5:I5"/>
    <mergeCell ref="H6:I6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25.8515625" style="0" customWidth="1"/>
    <col min="4" max="5" width="11.28125" style="0" bestFit="1" customWidth="1"/>
    <col min="6" max="6" width="10.140625" style="0" customWidth="1"/>
    <col min="7" max="8" width="11.28125" style="0" bestFit="1" customWidth="1"/>
    <col min="9" max="9" width="10.140625" style="0" bestFit="1" customWidth="1"/>
    <col min="10" max="10" width="8.140625" style="0" bestFit="1" customWidth="1"/>
    <col min="11" max="11" width="10.28125" style="0" bestFit="1" customWidth="1"/>
    <col min="12" max="12" width="9.57421875" style="0" bestFit="1" customWidth="1"/>
    <col min="13" max="13" width="4.8515625" style="0" customWidth="1"/>
    <col min="14" max="14" width="3.57421875" style="0" customWidth="1"/>
  </cols>
  <sheetData>
    <row r="1" spans="1:14" ht="15" customHeight="1">
      <c r="A1" s="1334" t="s">
        <v>476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</row>
    <row r="2" spans="1:14" ht="19.5" customHeight="1">
      <c r="A2" s="60"/>
      <c r="B2" s="280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281"/>
      <c r="N2" s="115"/>
    </row>
    <row r="3" spans="1:14" ht="19.5" customHeight="1">
      <c r="A3" s="60"/>
      <c r="B3" s="1401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3"/>
      <c r="N3" s="57"/>
    </row>
    <row r="4" spans="1:14" ht="19.5" customHeight="1">
      <c r="A4" s="60"/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6"/>
      <c r="N4" s="57"/>
    </row>
    <row r="5" spans="1:14" ht="19.5" customHeight="1">
      <c r="A5" s="60"/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6"/>
      <c r="N5" s="57"/>
    </row>
    <row r="6" spans="1:14" ht="19.5" customHeight="1">
      <c r="A6" s="60"/>
      <c r="B6" s="98"/>
      <c r="C6" s="1424"/>
      <c r="D6" s="1424"/>
      <c r="E6" s="287"/>
      <c r="F6" s="1424"/>
      <c r="G6" s="1424"/>
      <c r="H6" s="287"/>
      <c r="I6" s="1424"/>
      <c r="J6" s="1424"/>
      <c r="K6" s="1424"/>
      <c r="L6" s="287"/>
      <c r="M6" s="130"/>
      <c r="N6" s="57"/>
    </row>
    <row r="7" spans="1:14" ht="19.5" customHeight="1">
      <c r="A7" s="60"/>
      <c r="B7" s="98"/>
      <c r="C7" s="1424"/>
      <c r="D7" s="1424"/>
      <c r="E7" s="287"/>
      <c r="F7" s="287"/>
      <c r="G7" s="287"/>
      <c r="H7" s="287"/>
      <c r="I7" s="287"/>
      <c r="J7" s="287"/>
      <c r="K7" s="1424"/>
      <c r="L7" s="287"/>
      <c r="M7" s="130"/>
      <c r="N7" s="57"/>
    </row>
    <row r="8" spans="1:14" ht="19.5" customHeight="1">
      <c r="A8" s="60"/>
      <c r="B8" s="99"/>
      <c r="C8" s="1429" t="s">
        <v>277</v>
      </c>
      <c r="D8" s="1429"/>
      <c r="E8" s="1429"/>
      <c r="F8" s="1429"/>
      <c r="G8" s="1429"/>
      <c r="H8" s="1429"/>
      <c r="I8" s="1429"/>
      <c r="J8" s="1429"/>
      <c r="K8" s="1429"/>
      <c r="L8" s="1429"/>
      <c r="M8" s="130"/>
      <c r="N8" s="57"/>
    </row>
    <row r="9" spans="1:14" ht="19.5" customHeight="1" thickBot="1">
      <c r="A9" s="60"/>
      <c r="B9" s="99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130"/>
      <c r="N9" s="57"/>
    </row>
    <row r="10" spans="1:14" ht="19.5" customHeight="1">
      <c r="A10" s="60"/>
      <c r="B10" s="99"/>
      <c r="C10" s="1412" t="s">
        <v>84</v>
      </c>
      <c r="D10" s="1425" t="s">
        <v>602</v>
      </c>
      <c r="E10" s="1426"/>
      <c r="F10" s="1427"/>
      <c r="G10" s="1425" t="s">
        <v>603</v>
      </c>
      <c r="H10" s="1426"/>
      <c r="I10" s="1427"/>
      <c r="J10" s="1420" t="s">
        <v>302</v>
      </c>
      <c r="K10" s="1428"/>
      <c r="L10" s="1428"/>
      <c r="M10" s="130"/>
      <c r="N10" s="57"/>
    </row>
    <row r="11" spans="1:14" ht="19.5" customHeight="1">
      <c r="A11" s="60"/>
      <c r="B11" s="99"/>
      <c r="C11" s="1413"/>
      <c r="D11" s="306" t="s">
        <v>106</v>
      </c>
      <c r="E11" s="306" t="s">
        <v>107</v>
      </c>
      <c r="F11" s="223" t="s">
        <v>276</v>
      </c>
      <c r="G11" s="306" t="s">
        <v>106</v>
      </c>
      <c r="H11" s="306" t="s">
        <v>107</v>
      </c>
      <c r="I11" s="223" t="s">
        <v>276</v>
      </c>
      <c r="J11" s="1422" t="s">
        <v>447</v>
      </c>
      <c r="K11" s="1423"/>
      <c r="L11" s="1423"/>
      <c r="M11" s="130"/>
      <c r="N11" s="57"/>
    </row>
    <row r="12" spans="1:14" ht="19.5" customHeight="1" thickBot="1">
      <c r="A12" s="60"/>
      <c r="B12" s="99"/>
      <c r="C12" s="225"/>
      <c r="D12" s="307" t="s">
        <v>279</v>
      </c>
      <c r="E12" s="307" t="s">
        <v>110</v>
      </c>
      <c r="F12" s="226" t="s">
        <v>111</v>
      </c>
      <c r="G12" s="307" t="s">
        <v>279</v>
      </c>
      <c r="H12" s="307" t="s">
        <v>110</v>
      </c>
      <c r="I12" s="226" t="s">
        <v>111</v>
      </c>
      <c r="J12" s="307" t="s">
        <v>106</v>
      </c>
      <c r="K12" s="308" t="s">
        <v>107</v>
      </c>
      <c r="L12" s="227" t="s">
        <v>276</v>
      </c>
      <c r="M12" s="130"/>
      <c r="N12" s="57"/>
    </row>
    <row r="13" spans="1:14" ht="19.5" customHeight="1">
      <c r="A13" s="60"/>
      <c r="B13" s="99"/>
      <c r="C13" s="224" t="s">
        <v>13</v>
      </c>
      <c r="D13" s="516">
        <f>'14.Exp. Verde'!C19</f>
        <v>2803344.241</v>
      </c>
      <c r="E13" s="516">
        <f>'14.Exp. Verde'!D19</f>
        <v>18755665.049999997</v>
      </c>
      <c r="F13" s="517">
        <f aca="true" t="shared" si="0" ref="F13:F18">(D13*1000)/E13</f>
        <v>149.4665336327277</v>
      </c>
      <c r="G13" s="516">
        <f>'14.Exp. Verde'!F14</f>
        <v>3685631</v>
      </c>
      <c r="H13" s="516">
        <f>'14.Exp. Verde'!$G$14</f>
        <v>21099354.336666666</v>
      </c>
      <c r="I13" s="518">
        <f aca="true" t="shared" si="1" ref="I13:I18">(G13*1000)/H13</f>
        <v>174.67980020578517</v>
      </c>
      <c r="J13" s="853">
        <f aca="true" t="shared" si="2" ref="J13:L18">SUM(D13-G13)*100/G13</f>
        <v>-23.938553778172587</v>
      </c>
      <c r="K13" s="857">
        <f t="shared" si="2"/>
        <v>-11.107872066937055</v>
      </c>
      <c r="L13" s="854">
        <f t="shared" si="2"/>
        <v>-14.433990961378736</v>
      </c>
      <c r="M13" s="130"/>
      <c r="N13" s="57"/>
    </row>
    <row r="14" spans="1:14" ht="19.5" customHeight="1">
      <c r="A14" s="60"/>
      <c r="B14" s="99"/>
      <c r="C14" s="15" t="s">
        <v>112</v>
      </c>
      <c r="D14" s="516">
        <f>'15.Exp. Solúvel'!C19</f>
        <v>354084.903</v>
      </c>
      <c r="E14" s="516">
        <f>'15.Exp. Solúvel'!D19</f>
        <v>2339792.4169666655</v>
      </c>
      <c r="F14" s="517">
        <f t="shared" si="0"/>
        <v>151.33175936138807</v>
      </c>
      <c r="G14" s="516">
        <f>'15.Exp. Solúvel'!F14</f>
        <v>380808.065</v>
      </c>
      <c r="H14" s="516">
        <f>'15.Exp. Solúvel'!G14</f>
        <v>2257350.779666667</v>
      </c>
      <c r="I14" s="518">
        <f t="shared" si="1"/>
        <v>168.696893912178</v>
      </c>
      <c r="J14" s="853">
        <f t="shared" si="2"/>
        <v>-7.01748845576577</v>
      </c>
      <c r="K14" s="857">
        <f t="shared" si="2"/>
        <v>3.6521411755142665</v>
      </c>
      <c r="L14" s="854">
        <f t="shared" si="2"/>
        <v>-10.293689556507228</v>
      </c>
      <c r="M14" s="130"/>
      <c r="N14" s="57"/>
    </row>
    <row r="15" spans="1:14" ht="19.5" customHeight="1">
      <c r="A15" s="60"/>
      <c r="B15" s="99"/>
      <c r="C15" s="15" t="s">
        <v>158</v>
      </c>
      <c r="D15" s="516">
        <f>'16.Exp. Torrado'!C19</f>
        <v>6802.678</v>
      </c>
      <c r="E15" s="516">
        <f>'16.Exp. Torrado'!D19</f>
        <v>23905.478666666655</v>
      </c>
      <c r="F15" s="517">
        <f t="shared" si="0"/>
        <v>284.56564684837394</v>
      </c>
      <c r="G15" s="516">
        <f>'16.Exp. Torrado'!F14</f>
        <v>6949.887</v>
      </c>
      <c r="H15" s="516">
        <f>'16.Exp. Torrado'!G14</f>
        <v>22101.481333333333</v>
      </c>
      <c r="I15" s="518">
        <f t="shared" si="1"/>
        <v>314.45344749440926</v>
      </c>
      <c r="J15" s="853">
        <f t="shared" si="2"/>
        <v>-2.118149546891911</v>
      </c>
      <c r="K15" s="857">
        <f t="shared" si="2"/>
        <v>8.16233675076133</v>
      </c>
      <c r="L15" s="854">
        <f t="shared" si="2"/>
        <v>-9.504682134727334</v>
      </c>
      <c r="M15" s="130"/>
      <c r="N15" s="57"/>
    </row>
    <row r="16" spans="1:14" ht="19.5" customHeight="1">
      <c r="A16" s="60"/>
      <c r="B16" s="99"/>
      <c r="C16" s="15" t="s">
        <v>114</v>
      </c>
      <c r="D16" s="516">
        <f>'17.Exp. Extrato'!C19</f>
        <v>28392.44</v>
      </c>
      <c r="E16" s="516">
        <f>'17.Exp. Extrato'!D19</f>
        <v>236410.09999999998</v>
      </c>
      <c r="F16" s="517">
        <f t="shared" si="0"/>
        <v>120.09825299342118</v>
      </c>
      <c r="G16" s="516">
        <f>'17.Exp. Extrato'!F14</f>
        <v>27829.876</v>
      </c>
      <c r="H16" s="516">
        <f>'17.Exp. Extrato'!G14</f>
        <v>205697.3333333333</v>
      </c>
      <c r="I16" s="518">
        <f t="shared" si="1"/>
        <v>135.29526877677884</v>
      </c>
      <c r="J16" s="853">
        <f t="shared" si="2"/>
        <v>2.0214391181620734</v>
      </c>
      <c r="K16" s="857">
        <f t="shared" si="2"/>
        <v>14.931047558548805</v>
      </c>
      <c r="L16" s="854">
        <f t="shared" si="2"/>
        <v>-11.232481313467755</v>
      </c>
      <c r="M16" s="130"/>
      <c r="N16" s="57"/>
    </row>
    <row r="17" spans="1:14" ht="19.5" customHeight="1" thickBot="1">
      <c r="A17" s="60"/>
      <c r="B17" s="99"/>
      <c r="C17" s="228" t="s">
        <v>275</v>
      </c>
      <c r="D17" s="519">
        <v>24.944</v>
      </c>
      <c r="E17" s="519">
        <v>170.213</v>
      </c>
      <c r="F17" s="517">
        <f t="shared" si="0"/>
        <v>146.54579849952708</v>
      </c>
      <c r="G17" s="519">
        <v>30.142</v>
      </c>
      <c r="H17" s="519">
        <v>76.2666666666666</v>
      </c>
      <c r="I17" s="518">
        <f t="shared" si="1"/>
        <v>395.21853146853186</v>
      </c>
      <c r="J17" s="853">
        <f t="shared" si="2"/>
        <v>-17.245040143321614</v>
      </c>
      <c r="K17" s="857">
        <f t="shared" si="2"/>
        <v>123.18138111888133</v>
      </c>
      <c r="L17" s="854">
        <f t="shared" si="2"/>
        <v>-62.92031197145538</v>
      </c>
      <c r="M17" s="130"/>
      <c r="N17" s="57"/>
    </row>
    <row r="18" spans="1:14" ht="19.5" customHeight="1" thickBot="1">
      <c r="A18" s="60"/>
      <c r="B18" s="99"/>
      <c r="C18" s="304" t="s">
        <v>115</v>
      </c>
      <c r="D18" s="520">
        <f>SUM(D13:D17)</f>
        <v>3192649.206</v>
      </c>
      <c r="E18" s="520">
        <f>SUM(E13:E17)</f>
        <v>21355943.25863333</v>
      </c>
      <c r="F18" s="521">
        <f t="shared" si="0"/>
        <v>149.4969886057055</v>
      </c>
      <c r="G18" s="520">
        <f>SUM(G13:G17)</f>
        <v>4101248.97</v>
      </c>
      <c r="H18" s="520">
        <f>SUM(H13:H17)</f>
        <v>23584580.197666664</v>
      </c>
      <c r="I18" s="522">
        <f t="shared" si="1"/>
        <v>173.89535601764734</v>
      </c>
      <c r="J18" s="855">
        <f>SUM(D18-G18)*100/G18</f>
        <v>-22.154221083534956</v>
      </c>
      <c r="K18" s="858">
        <f>SUM(E18-H18)*100/H18</f>
        <v>-9.449551021704524</v>
      </c>
      <c r="L18" s="856">
        <f t="shared" si="2"/>
        <v>-14.030488203184587</v>
      </c>
      <c r="M18" s="130"/>
      <c r="N18" s="57"/>
    </row>
    <row r="19" spans="1:14" ht="19.5" customHeight="1">
      <c r="A19" s="60"/>
      <c r="B19" s="99"/>
      <c r="C19" s="305" t="s">
        <v>116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30"/>
      <c r="N19" s="57"/>
    </row>
    <row r="20" spans="1:14" ht="19.5" customHeight="1">
      <c r="A20" s="60"/>
      <c r="B20" s="99"/>
      <c r="C20" s="305"/>
      <c r="D20" s="181"/>
      <c r="E20" s="181"/>
      <c r="F20" s="181"/>
      <c r="G20" s="181"/>
      <c r="H20" s="181"/>
      <c r="I20" s="181"/>
      <c r="J20" s="181"/>
      <c r="K20" s="181"/>
      <c r="L20" s="181"/>
      <c r="M20" s="130"/>
      <c r="N20" s="57"/>
    </row>
    <row r="21" spans="1:14" ht="19.5" customHeight="1">
      <c r="A21" s="60"/>
      <c r="B21" s="99"/>
      <c r="C21" s="305"/>
      <c r="D21" s="181"/>
      <c r="E21" s="181"/>
      <c r="F21" s="181"/>
      <c r="G21" s="181"/>
      <c r="H21" s="181"/>
      <c r="I21" s="181"/>
      <c r="J21" s="181"/>
      <c r="K21" s="181"/>
      <c r="L21" s="181"/>
      <c r="M21" s="130"/>
      <c r="N21" s="57"/>
    </row>
    <row r="22" spans="1:14" ht="19.5" customHeight="1">
      <c r="A22" s="60"/>
      <c r="B22" s="99"/>
      <c r="C22" s="305"/>
      <c r="D22" s="181"/>
      <c r="E22" s="181"/>
      <c r="F22" s="181"/>
      <c r="G22" s="181"/>
      <c r="H22" s="181"/>
      <c r="I22" s="181"/>
      <c r="J22" s="181"/>
      <c r="K22" s="181"/>
      <c r="L22" s="181"/>
      <c r="M22" s="130"/>
      <c r="N22" s="57"/>
    </row>
    <row r="23" spans="1:14" ht="19.5" customHeight="1">
      <c r="A23" s="57"/>
      <c r="B23" s="172"/>
      <c r="C23" s="194"/>
      <c r="D23" s="194"/>
      <c r="E23" s="194"/>
      <c r="F23" s="195"/>
      <c r="G23" s="192"/>
      <c r="H23" s="192"/>
      <c r="I23" s="195"/>
      <c r="J23" s="192"/>
      <c r="K23" s="193"/>
      <c r="L23" s="193"/>
      <c r="M23" s="130"/>
      <c r="N23" s="57"/>
    </row>
    <row r="24" spans="1:14" ht="19.5" customHeight="1">
      <c r="A24" s="57"/>
      <c r="B24" s="111"/>
      <c r="C24" s="1397"/>
      <c r="D24" s="1397"/>
      <c r="E24" s="1397"/>
      <c r="F24" s="1397"/>
      <c r="G24" s="1397"/>
      <c r="H24" s="302"/>
      <c r="I24" s="173"/>
      <c r="J24" s="173"/>
      <c r="K24" s="173"/>
      <c r="L24" s="173"/>
      <c r="M24" s="131"/>
      <c r="N24" s="57"/>
    </row>
    <row r="25" spans="1:14" ht="1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</sheetData>
  <sheetProtection/>
  <mergeCells count="13">
    <mergeCell ref="A1:N1"/>
    <mergeCell ref="C24:G24"/>
    <mergeCell ref="C10:C11"/>
    <mergeCell ref="B3:M3"/>
    <mergeCell ref="C6:D7"/>
    <mergeCell ref="F6:G6"/>
    <mergeCell ref="I6:J6"/>
    <mergeCell ref="K6:K7"/>
    <mergeCell ref="D10:F10"/>
    <mergeCell ref="G10:I10"/>
    <mergeCell ref="J10:L10"/>
    <mergeCell ref="J11:L11"/>
    <mergeCell ref="C8:L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W19" sqref="W19"/>
    </sheetView>
  </sheetViews>
  <sheetFormatPr defaultColWidth="9.140625" defaultRowHeight="12.75"/>
  <cols>
    <col min="1" max="1" width="2.8515625" style="0" customWidth="1"/>
    <col min="2" max="2" width="10.00390625" style="0" customWidth="1"/>
    <col min="3" max="10" width="5.7109375" style="0" customWidth="1"/>
    <col min="11" max="11" width="7.7109375" style="0" customWidth="1"/>
    <col min="12" max="19" width="6.7109375" style="0" customWidth="1"/>
    <col min="20" max="20" width="7.7109375" style="0" customWidth="1"/>
    <col min="21" max="21" width="2.8515625" style="0" customWidth="1"/>
    <col min="26" max="26" width="16.00390625" style="0" customWidth="1"/>
  </cols>
  <sheetData>
    <row r="1" spans="1:21" ht="14.25">
      <c r="A1" s="1433" t="s">
        <v>477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</row>
    <row r="2" spans="1:21" ht="15" customHeight="1">
      <c r="A2" s="279"/>
      <c r="B2" s="280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81"/>
      <c r="U2" s="279"/>
    </row>
    <row r="3" spans="1:21" ht="15" customHeight="1">
      <c r="A3" s="279"/>
      <c r="B3" s="1437" t="s">
        <v>520</v>
      </c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9"/>
      <c r="U3" s="279"/>
    </row>
    <row r="4" spans="1:21" ht="15" customHeight="1">
      <c r="A4" s="279"/>
      <c r="B4" s="1434" t="s">
        <v>599</v>
      </c>
      <c r="C4" s="1435"/>
      <c r="D4" s="1435"/>
      <c r="E4" s="1435"/>
      <c r="F4" s="1435"/>
      <c r="G4" s="1435"/>
      <c r="H4" s="1435"/>
      <c r="I4" s="1435"/>
      <c r="J4" s="1435"/>
      <c r="K4" s="1435"/>
      <c r="L4" s="1435"/>
      <c r="M4" s="1435"/>
      <c r="N4" s="1435"/>
      <c r="O4" s="1435"/>
      <c r="P4" s="1435"/>
      <c r="Q4" s="1435"/>
      <c r="R4" s="1435"/>
      <c r="S4" s="1435"/>
      <c r="T4" s="1436"/>
      <c r="U4" s="279"/>
    </row>
    <row r="5" spans="1:21" ht="27" customHeight="1">
      <c r="A5" s="279"/>
      <c r="B5" s="1434" t="s">
        <v>508</v>
      </c>
      <c r="C5" s="1435"/>
      <c r="D5" s="1435"/>
      <c r="E5" s="1435"/>
      <c r="F5" s="1435"/>
      <c r="G5" s="1435"/>
      <c r="H5" s="1435"/>
      <c r="I5" s="1435"/>
      <c r="J5" s="1435"/>
      <c r="K5" s="1435"/>
      <c r="L5" s="1435"/>
      <c r="M5" s="1435"/>
      <c r="N5" s="1435"/>
      <c r="O5" s="1435"/>
      <c r="P5" s="1435"/>
      <c r="Q5" s="1435"/>
      <c r="R5" s="1435"/>
      <c r="S5" s="1435"/>
      <c r="T5" s="1436"/>
      <c r="U5" s="279"/>
    </row>
    <row r="6" spans="1:21" ht="15" customHeight="1" thickBot="1">
      <c r="A6" s="279"/>
      <c r="B6" s="116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167"/>
      <c r="U6" s="279"/>
    </row>
    <row r="7" spans="1:21" ht="15" customHeight="1">
      <c r="A7" s="279"/>
      <c r="B7" s="1178" t="s">
        <v>84</v>
      </c>
      <c r="C7" s="1430" t="s">
        <v>593</v>
      </c>
      <c r="D7" s="1431"/>
      <c r="E7" s="1431"/>
      <c r="F7" s="1431"/>
      <c r="G7" s="1431"/>
      <c r="H7" s="1431"/>
      <c r="I7" s="1431"/>
      <c r="J7" s="1431"/>
      <c r="K7" s="1432"/>
      <c r="L7" s="1430" t="s">
        <v>594</v>
      </c>
      <c r="M7" s="1431"/>
      <c r="N7" s="1431"/>
      <c r="O7" s="1431"/>
      <c r="P7" s="1431"/>
      <c r="Q7" s="1431"/>
      <c r="R7" s="1431"/>
      <c r="S7" s="1431"/>
      <c r="T7" s="1432"/>
      <c r="U7" s="279"/>
    </row>
    <row r="8" spans="1:21" ht="15" customHeight="1" thickBot="1">
      <c r="A8" s="279"/>
      <c r="B8" s="1179" t="s">
        <v>509</v>
      </c>
      <c r="C8" s="1180" t="s">
        <v>510</v>
      </c>
      <c r="D8" s="1181" t="s">
        <v>511</v>
      </c>
      <c r="E8" s="1181" t="s">
        <v>512</v>
      </c>
      <c r="F8" s="1181" t="s">
        <v>513</v>
      </c>
      <c r="G8" s="1181" t="s">
        <v>514</v>
      </c>
      <c r="H8" s="1181" t="s">
        <v>595</v>
      </c>
      <c r="I8" s="1181" t="s">
        <v>596</v>
      </c>
      <c r="J8" s="1184" t="s">
        <v>597</v>
      </c>
      <c r="K8" s="1182" t="s">
        <v>115</v>
      </c>
      <c r="L8" s="1183" t="s">
        <v>510</v>
      </c>
      <c r="M8" s="1181" t="s">
        <v>511</v>
      </c>
      <c r="N8" s="1181" t="s">
        <v>512</v>
      </c>
      <c r="O8" s="1181" t="s">
        <v>513</v>
      </c>
      <c r="P8" s="1181" t="s">
        <v>514</v>
      </c>
      <c r="Q8" s="1181" t="s">
        <v>595</v>
      </c>
      <c r="R8" s="1181" t="s">
        <v>596</v>
      </c>
      <c r="S8" s="1184" t="s">
        <v>597</v>
      </c>
      <c r="T8" s="1182" t="s">
        <v>115</v>
      </c>
      <c r="U8" s="279"/>
    </row>
    <row r="9" spans="1:21" ht="15" customHeight="1">
      <c r="A9" s="279"/>
      <c r="B9" s="1185"/>
      <c r="C9" s="1186"/>
      <c r="D9" s="293"/>
      <c r="E9" s="293"/>
      <c r="F9" s="293"/>
      <c r="G9" s="293"/>
      <c r="H9" s="293"/>
      <c r="I9" s="293"/>
      <c r="J9" s="1187"/>
      <c r="K9" s="1187"/>
      <c r="L9" s="293"/>
      <c r="M9" s="293"/>
      <c r="N9" s="293"/>
      <c r="O9" s="1188"/>
      <c r="P9" s="293"/>
      <c r="Q9" s="293"/>
      <c r="R9" s="293"/>
      <c r="S9" s="1187"/>
      <c r="T9" s="1187"/>
      <c r="U9" s="279"/>
    </row>
    <row r="10" spans="1:21" ht="15" customHeight="1">
      <c r="A10" s="279"/>
      <c r="B10" s="1185" t="s">
        <v>13</v>
      </c>
      <c r="C10" s="1154">
        <v>363.39893</v>
      </c>
      <c r="D10" s="1155">
        <v>396.956485</v>
      </c>
      <c r="E10" s="1155">
        <v>405.948702</v>
      </c>
      <c r="F10" s="1155">
        <v>325.5349</v>
      </c>
      <c r="G10" s="1155">
        <v>314.619</v>
      </c>
      <c r="H10" s="1155">
        <v>303.319</v>
      </c>
      <c r="I10" s="1294">
        <v>271.398</v>
      </c>
      <c r="J10" s="1228">
        <v>422.344</v>
      </c>
      <c r="K10" s="1156">
        <f>C10+D10+E10+F10+G10+H10+I10+J10</f>
        <v>2803.5190170000005</v>
      </c>
      <c r="L10" s="1169">
        <v>2485.1133</v>
      </c>
      <c r="M10" s="1155">
        <v>2668.75558</v>
      </c>
      <c r="N10" s="1155">
        <v>2775.268803</v>
      </c>
      <c r="O10" s="1155">
        <v>2232.325367</v>
      </c>
      <c r="P10" s="1155">
        <v>2167.8312</v>
      </c>
      <c r="Q10" s="1155">
        <v>2064.34</v>
      </c>
      <c r="R10" s="1294">
        <v>1737.40645</v>
      </c>
      <c r="S10" s="1228">
        <v>2624.665</v>
      </c>
      <c r="T10" s="1156">
        <f>L10+M10+N10+O10+P10+Q10+R10+S10</f>
        <v>18755.705700000002</v>
      </c>
      <c r="U10" s="279"/>
    </row>
    <row r="11" spans="1:21" ht="15" customHeight="1">
      <c r="A11" s="279"/>
      <c r="B11" s="1185" t="s">
        <v>112</v>
      </c>
      <c r="C11" s="1154">
        <v>37.861644</v>
      </c>
      <c r="D11" s="1155">
        <v>47.08956</v>
      </c>
      <c r="E11" s="1155">
        <v>45.282055</v>
      </c>
      <c r="F11" s="1155">
        <v>40.252156</v>
      </c>
      <c r="G11" s="1155">
        <v>40.721891</v>
      </c>
      <c r="H11" s="1155">
        <v>45.207</v>
      </c>
      <c r="I11" s="1294">
        <v>47.333</v>
      </c>
      <c r="J11" s="1228">
        <v>50.085</v>
      </c>
      <c r="K11" s="1156">
        <f>C11+D11+E11+F11+G11+H11+I11+J11</f>
        <v>353.83230599999996</v>
      </c>
      <c r="L11" s="1169">
        <v>250.38741</v>
      </c>
      <c r="M11" s="1155">
        <v>318.06108</v>
      </c>
      <c r="N11" s="1155">
        <v>306.639143</v>
      </c>
      <c r="O11" s="1155">
        <v>265.8051733</v>
      </c>
      <c r="P11" s="1155">
        <v>269.620454</v>
      </c>
      <c r="Q11" s="1155">
        <v>305.737</v>
      </c>
      <c r="R11" s="1294">
        <v>307.123473333333</v>
      </c>
      <c r="S11" s="1228">
        <v>316.792</v>
      </c>
      <c r="T11" s="1156">
        <f>L11+M11+N11+O11+P11+Q11+R11+S11</f>
        <v>2340.165733633333</v>
      </c>
      <c r="U11" s="279"/>
    </row>
    <row r="12" spans="1:21" ht="15" customHeight="1">
      <c r="A12" s="279"/>
      <c r="B12" s="1185" t="s">
        <v>538</v>
      </c>
      <c r="C12" s="1154">
        <v>0.596523</v>
      </c>
      <c r="D12" s="1155">
        <v>1.11613</v>
      </c>
      <c r="E12" s="1155">
        <v>0.596026</v>
      </c>
      <c r="F12" s="1155">
        <v>0.976714</v>
      </c>
      <c r="G12" s="1155">
        <v>0.484339</v>
      </c>
      <c r="H12" s="1155">
        <v>1.15</v>
      </c>
      <c r="I12" s="1155">
        <v>0.879</v>
      </c>
      <c r="J12" s="1156">
        <v>0.803</v>
      </c>
      <c r="K12" s="1156">
        <f>C12+D12+E12+F12+G12+H12+I12+J12</f>
        <v>6.601731999999999</v>
      </c>
      <c r="L12" s="1169">
        <v>2.25729</v>
      </c>
      <c r="M12" s="1155">
        <v>2.28238</v>
      </c>
      <c r="N12" s="1155">
        <v>3.605602</v>
      </c>
      <c r="O12" s="1155">
        <v>3.09796</v>
      </c>
      <c r="P12" s="1155">
        <v>1.7549</v>
      </c>
      <c r="Q12" s="1155">
        <v>4.406</v>
      </c>
      <c r="R12" s="1155">
        <v>2.93462716666666</v>
      </c>
      <c r="S12" s="1156">
        <v>3.905</v>
      </c>
      <c r="T12" s="1156">
        <f>L12+M12+N12+O12+P12+Q12+R12+S12</f>
        <v>24.243759166666656</v>
      </c>
      <c r="U12" s="279"/>
    </row>
    <row r="13" spans="1:21" ht="15" customHeight="1">
      <c r="A13" s="279"/>
      <c r="B13" s="1185" t="s">
        <v>539</v>
      </c>
      <c r="C13" s="1154">
        <v>1.704243</v>
      </c>
      <c r="D13" s="1155">
        <v>2.375075</v>
      </c>
      <c r="E13" s="1155">
        <v>2.992078</v>
      </c>
      <c r="F13" s="1155">
        <v>4.727608</v>
      </c>
      <c r="G13" s="1155">
        <v>5.498431</v>
      </c>
      <c r="H13" s="1155">
        <v>4.304</v>
      </c>
      <c r="I13" s="1294">
        <v>3.42</v>
      </c>
      <c r="J13" s="1228">
        <v>3.392</v>
      </c>
      <c r="K13" s="1156">
        <f>C13+D13+E13+F13+G13+H13+I13+J13</f>
        <v>28.413435000000003</v>
      </c>
      <c r="L13" s="1169">
        <v>17.19007</v>
      </c>
      <c r="M13" s="1155">
        <v>20.00536</v>
      </c>
      <c r="N13" s="1155">
        <v>22.923373</v>
      </c>
      <c r="O13" s="1155">
        <v>41.20092</v>
      </c>
      <c r="P13" s="1155">
        <v>40.746747</v>
      </c>
      <c r="Q13" s="1155">
        <v>38.335</v>
      </c>
      <c r="R13" s="1294">
        <v>29.73399</v>
      </c>
      <c r="S13" s="1228">
        <v>25.41</v>
      </c>
      <c r="T13" s="1156">
        <f>L13+M13+N13+O13+P13+Q13+R13+S13</f>
        <v>235.54546000000002</v>
      </c>
      <c r="U13" s="279"/>
    </row>
    <row r="14" spans="1:21" ht="15" customHeight="1">
      <c r="A14" s="279"/>
      <c r="B14" s="1295" t="s">
        <v>540</v>
      </c>
      <c r="C14" s="1157">
        <v>0</v>
      </c>
      <c r="D14" s="1158">
        <v>0.004487</v>
      </c>
      <c r="E14" s="1158">
        <v>0.0011</v>
      </c>
      <c r="F14" s="1158">
        <v>0.001949</v>
      </c>
      <c r="G14" s="1158">
        <v>0.00033</v>
      </c>
      <c r="H14" s="1158">
        <v>0.001</v>
      </c>
      <c r="I14" s="1158">
        <v>0.003</v>
      </c>
      <c r="J14" s="1159">
        <v>0.01314</v>
      </c>
      <c r="K14" s="1156">
        <f>C14+D14+E14+F14+G14+H14+I14+J14</f>
        <v>0.025006</v>
      </c>
      <c r="L14" s="1160">
        <v>0</v>
      </c>
      <c r="M14" s="1158">
        <v>0.0433</v>
      </c>
      <c r="N14" s="1158">
        <v>0.00824</v>
      </c>
      <c r="O14" s="1158">
        <v>0.01529</v>
      </c>
      <c r="P14" s="1158">
        <v>0.004627</v>
      </c>
      <c r="Q14" s="1158">
        <v>0.009</v>
      </c>
      <c r="R14" s="1158">
        <v>0.001</v>
      </c>
      <c r="S14" s="1159">
        <v>0.08876</v>
      </c>
      <c r="T14" s="1156">
        <f>L14+M14+N14+O14+P14+Q14+R14+S14</f>
        <v>0.170217</v>
      </c>
      <c r="U14" s="279"/>
    </row>
    <row r="15" spans="1:21" ht="15" customHeight="1" thickBot="1">
      <c r="A15" s="279"/>
      <c r="B15" s="1189" t="s">
        <v>115</v>
      </c>
      <c r="C15" s="1161">
        <f aca="true" t="shared" si="0" ref="C15:T15">SUM(C10:C14)</f>
        <v>403.56134000000003</v>
      </c>
      <c r="D15" s="1162">
        <f t="shared" si="0"/>
        <v>447.54173699999996</v>
      </c>
      <c r="E15" s="1162">
        <f t="shared" si="0"/>
        <v>454.81996100000003</v>
      </c>
      <c r="F15" s="1163">
        <f t="shared" si="0"/>
        <v>371.493327</v>
      </c>
      <c r="G15" s="1162">
        <f t="shared" si="0"/>
        <v>361.32399100000004</v>
      </c>
      <c r="H15" s="1163">
        <f t="shared" si="0"/>
        <v>353.98099999999994</v>
      </c>
      <c r="I15" s="1163">
        <f>SUM(I10:I14)</f>
        <v>323.033</v>
      </c>
      <c r="J15" s="1165">
        <f>SUM(J10:J14)</f>
        <v>476.63714</v>
      </c>
      <c r="K15" s="1165">
        <f t="shared" si="0"/>
        <v>3192.391496</v>
      </c>
      <c r="L15" s="1194">
        <f t="shared" si="0"/>
        <v>2754.94807</v>
      </c>
      <c r="M15" s="1163">
        <f t="shared" si="0"/>
        <v>3009.1477</v>
      </c>
      <c r="N15" s="1163">
        <f t="shared" si="0"/>
        <v>3108.445161</v>
      </c>
      <c r="O15" s="1163">
        <f t="shared" si="0"/>
        <v>2542.4447102999998</v>
      </c>
      <c r="P15" s="1163">
        <f t="shared" si="0"/>
        <v>2479.957928</v>
      </c>
      <c r="Q15" s="1163">
        <f t="shared" si="0"/>
        <v>2412.827</v>
      </c>
      <c r="R15" s="1163">
        <f>SUM(R10:R14)</f>
        <v>2077.1995405</v>
      </c>
      <c r="S15" s="1165">
        <f>SUM(S10:S14)</f>
        <v>2970.86076</v>
      </c>
      <c r="T15" s="1165">
        <f t="shared" si="0"/>
        <v>21355.830869800004</v>
      </c>
      <c r="U15" s="279"/>
    </row>
    <row r="16" spans="1:21" ht="15" customHeight="1">
      <c r="A16" s="279"/>
      <c r="B16" s="413"/>
      <c r="C16" s="1169"/>
      <c r="D16" s="1155"/>
      <c r="E16" s="1155"/>
      <c r="F16" s="1155"/>
      <c r="G16" s="1155"/>
      <c r="H16" s="1155"/>
      <c r="I16" s="1155"/>
      <c r="J16" s="1155"/>
      <c r="K16" s="1155"/>
      <c r="L16" s="1169"/>
      <c r="M16" s="1155"/>
      <c r="N16" s="1155"/>
      <c r="O16" s="1155"/>
      <c r="P16" s="1155"/>
      <c r="Q16" s="1155"/>
      <c r="R16" s="1155"/>
      <c r="S16" s="1155"/>
      <c r="T16" s="1156"/>
      <c r="U16" s="279"/>
    </row>
    <row r="17" spans="1:21" ht="15" customHeight="1" thickBot="1">
      <c r="A17" s="279"/>
      <c r="B17" s="1193"/>
      <c r="C17" s="1169"/>
      <c r="D17" s="1155"/>
      <c r="E17" s="1155"/>
      <c r="F17" s="1155"/>
      <c r="G17" s="1155"/>
      <c r="H17" s="1155"/>
      <c r="I17" s="1155"/>
      <c r="J17" s="1155"/>
      <c r="K17" s="1155"/>
      <c r="L17" s="1169"/>
      <c r="M17" s="1155"/>
      <c r="N17" s="1155"/>
      <c r="O17" s="1155"/>
      <c r="P17" s="1155"/>
      <c r="Q17" s="1155"/>
      <c r="R17" s="1155"/>
      <c r="S17" s="1155"/>
      <c r="T17" s="1156"/>
      <c r="U17" s="279"/>
    </row>
    <row r="18" spans="1:21" ht="15" customHeight="1">
      <c r="A18" s="279"/>
      <c r="B18" s="1190" t="s">
        <v>84</v>
      </c>
      <c r="C18" s="1430" t="s">
        <v>593</v>
      </c>
      <c r="D18" s="1431"/>
      <c r="E18" s="1431"/>
      <c r="F18" s="1431"/>
      <c r="G18" s="1431"/>
      <c r="H18" s="1431"/>
      <c r="I18" s="1431"/>
      <c r="J18" s="1431"/>
      <c r="K18" s="1432"/>
      <c r="L18" s="1430" t="s">
        <v>594</v>
      </c>
      <c r="M18" s="1431"/>
      <c r="N18" s="1431"/>
      <c r="O18" s="1431"/>
      <c r="P18" s="1431"/>
      <c r="Q18" s="1431"/>
      <c r="R18" s="1431"/>
      <c r="S18" s="1431"/>
      <c r="T18" s="1432"/>
      <c r="U18" s="279"/>
    </row>
    <row r="19" spans="1:21" ht="15" customHeight="1" thickBot="1">
      <c r="A19" s="279"/>
      <c r="B19" s="1179" t="s">
        <v>515</v>
      </c>
      <c r="C19" s="1180" t="s">
        <v>510</v>
      </c>
      <c r="D19" s="1181" t="s">
        <v>511</v>
      </c>
      <c r="E19" s="1181" t="s">
        <v>512</v>
      </c>
      <c r="F19" s="1181" t="s">
        <v>513</v>
      </c>
      <c r="G19" s="1181" t="s">
        <v>514</v>
      </c>
      <c r="H19" s="1181" t="s">
        <v>595</v>
      </c>
      <c r="I19" s="1181" t="s">
        <v>596</v>
      </c>
      <c r="J19" s="1184" t="s">
        <v>598</v>
      </c>
      <c r="K19" s="1182" t="s">
        <v>115</v>
      </c>
      <c r="L19" s="1183" t="s">
        <v>510</v>
      </c>
      <c r="M19" s="1181" t="s">
        <v>511</v>
      </c>
      <c r="N19" s="1181" t="s">
        <v>512</v>
      </c>
      <c r="O19" s="1181" t="s">
        <v>513</v>
      </c>
      <c r="P19" s="1181" t="s">
        <v>514</v>
      </c>
      <c r="Q19" s="1181" t="s">
        <v>595</v>
      </c>
      <c r="R19" s="1181" t="s">
        <v>596</v>
      </c>
      <c r="S19" s="1184" t="s">
        <v>597</v>
      </c>
      <c r="T19" s="1182" t="s">
        <v>115</v>
      </c>
      <c r="U19" s="279"/>
    </row>
    <row r="20" spans="1:21" ht="15" customHeight="1">
      <c r="A20" s="279"/>
      <c r="B20" s="1185"/>
      <c r="C20" s="1186"/>
      <c r="D20" s="293"/>
      <c r="E20" s="293"/>
      <c r="F20" s="1188"/>
      <c r="G20" s="293"/>
      <c r="H20" s="293"/>
      <c r="I20" s="293"/>
      <c r="J20" s="1187"/>
      <c r="K20" s="1156"/>
      <c r="L20" s="293"/>
      <c r="M20" s="293"/>
      <c r="N20" s="293"/>
      <c r="O20" s="1188"/>
      <c r="P20" s="293"/>
      <c r="Q20" s="293"/>
      <c r="R20" s="293"/>
      <c r="S20" s="1187"/>
      <c r="T20" s="1156"/>
      <c r="U20" s="279"/>
    </row>
    <row r="21" spans="1:21" ht="15" customHeight="1">
      <c r="A21" s="279"/>
      <c r="B21" s="1185" t="s">
        <v>13</v>
      </c>
      <c r="C21" s="1154">
        <v>546.288258</v>
      </c>
      <c r="D21" s="1155">
        <v>493.481796</v>
      </c>
      <c r="E21" s="1155">
        <v>519.707917</v>
      </c>
      <c r="F21" s="1155">
        <v>468.848028</v>
      </c>
      <c r="G21" s="1155">
        <v>434.545001</v>
      </c>
      <c r="H21" s="1227">
        <v>392.821</v>
      </c>
      <c r="I21" s="1294">
        <v>405.777</v>
      </c>
      <c r="J21" s="1228">
        <v>424.631</v>
      </c>
      <c r="K21" s="1156">
        <f>C21+D21+E21+F21+G21+H21+I21+J21</f>
        <v>3686.1</v>
      </c>
      <c r="L21" s="1195">
        <v>2724.75</v>
      </c>
      <c r="M21" s="1195">
        <v>2513.46666666667</v>
      </c>
      <c r="N21" s="1195">
        <v>2860.38333333333</v>
      </c>
      <c r="O21" s="1155">
        <v>2815.05</v>
      </c>
      <c r="P21" s="1155">
        <v>2630.41666666667</v>
      </c>
      <c r="Q21" s="1227">
        <v>2386.26666666667</v>
      </c>
      <c r="R21" s="1294">
        <v>2499.1</v>
      </c>
      <c r="S21" s="1228">
        <v>2670.354</v>
      </c>
      <c r="T21" s="1156">
        <f>L21+M21+N21+O21+P21+Q21+R21+S21</f>
        <v>21099.78733333334</v>
      </c>
      <c r="U21" s="279"/>
    </row>
    <row r="22" spans="1:21" ht="15" customHeight="1">
      <c r="A22" s="279"/>
      <c r="B22" s="1185" t="s">
        <v>112</v>
      </c>
      <c r="C22" s="1154">
        <v>39.830908</v>
      </c>
      <c r="D22" s="1155">
        <v>42.123211</v>
      </c>
      <c r="E22" s="1155">
        <v>50.778792</v>
      </c>
      <c r="F22" s="1155">
        <v>51.658414</v>
      </c>
      <c r="G22" s="1155">
        <v>44.441675</v>
      </c>
      <c r="H22" s="1227">
        <v>51.099</v>
      </c>
      <c r="I22" s="1294">
        <v>50.698</v>
      </c>
      <c r="J22" s="1228">
        <v>49.808</v>
      </c>
      <c r="K22" s="1156">
        <f>C22+D22+E22+F22+G22+H22+I22+J22</f>
        <v>380.438</v>
      </c>
      <c r="L22" s="1195">
        <v>228.973333333333</v>
      </c>
      <c r="M22" s="1195">
        <v>235.993333333333</v>
      </c>
      <c r="N22" s="1195">
        <v>289.813333333333</v>
      </c>
      <c r="O22" s="1155">
        <v>306.626666666667</v>
      </c>
      <c r="P22" s="1155">
        <v>266.023333333333</v>
      </c>
      <c r="Q22" s="1227">
        <v>307.406666666667</v>
      </c>
      <c r="R22" s="1294">
        <v>315.553</v>
      </c>
      <c r="S22" s="1228">
        <v>307.351</v>
      </c>
      <c r="T22" s="1156">
        <f>L22+M22+N22+O22+P22+Q22+R22+S22</f>
        <v>2257.740666666666</v>
      </c>
      <c r="U22" s="279"/>
    </row>
    <row r="23" spans="1:21" ht="15" customHeight="1">
      <c r="A23" s="279"/>
      <c r="B23" s="1185" t="s">
        <v>538</v>
      </c>
      <c r="C23" s="1154">
        <v>0.302336</v>
      </c>
      <c r="D23" s="1155">
        <v>0.911353</v>
      </c>
      <c r="E23" s="1155">
        <v>1.146074</v>
      </c>
      <c r="F23" s="1155">
        <v>0.607329</v>
      </c>
      <c r="G23" s="1155">
        <v>0.794908</v>
      </c>
      <c r="H23" s="1227">
        <v>1.28</v>
      </c>
      <c r="I23" s="1155">
        <v>1.103</v>
      </c>
      <c r="J23" s="1156">
        <v>0.95</v>
      </c>
      <c r="K23" s="1156">
        <f>C23+D23+E23+F23+G23+H23+I23+J23</f>
        <v>7.095</v>
      </c>
      <c r="L23" s="1195">
        <v>0.912333333333333</v>
      </c>
      <c r="M23" s="1195">
        <v>2.81633333333333</v>
      </c>
      <c r="N23" s="1195">
        <v>3.94683333333333</v>
      </c>
      <c r="O23" s="1155">
        <v>1.80483333333333</v>
      </c>
      <c r="P23" s="1155">
        <v>2.41966666666667</v>
      </c>
      <c r="Q23" s="1227">
        <v>4.18483333333333</v>
      </c>
      <c r="R23" s="1155">
        <v>3.709</v>
      </c>
      <c r="S23" s="1156">
        <v>2.101</v>
      </c>
      <c r="T23" s="1156">
        <f>L23+M23+N23+O23+P23+Q23+R23+S23</f>
        <v>21.89483333333332</v>
      </c>
      <c r="U23" s="279"/>
    </row>
    <row r="24" spans="1:21" ht="15" customHeight="1">
      <c r="A24" s="279"/>
      <c r="B24" s="1185" t="s">
        <v>539</v>
      </c>
      <c r="C24" s="1154">
        <v>2.615253</v>
      </c>
      <c r="D24" s="1155">
        <v>3.502506</v>
      </c>
      <c r="E24" s="1155">
        <v>3.66412</v>
      </c>
      <c r="F24" s="1155">
        <v>4.107687</v>
      </c>
      <c r="G24" s="1155">
        <v>4.077434</v>
      </c>
      <c r="H24" s="1227">
        <v>4.392</v>
      </c>
      <c r="I24" s="1294">
        <v>3.418</v>
      </c>
      <c r="J24" s="1228">
        <v>1.83</v>
      </c>
      <c r="K24" s="1156">
        <f>C24+D24+E24+F24+G24+H24+I24+J24</f>
        <v>27.607</v>
      </c>
      <c r="L24" s="1195">
        <v>25.6966666666667</v>
      </c>
      <c r="M24" s="1195">
        <v>24.6133333333333</v>
      </c>
      <c r="N24" s="1195">
        <v>21.9266666666667</v>
      </c>
      <c r="O24" s="1155">
        <v>26.4333333333333</v>
      </c>
      <c r="P24" s="1155">
        <v>28.1233333333333</v>
      </c>
      <c r="Q24" s="1227">
        <v>32.89</v>
      </c>
      <c r="R24" s="1294">
        <v>29.51</v>
      </c>
      <c r="S24" s="1228">
        <v>16.697</v>
      </c>
      <c r="T24" s="1156">
        <f>L24+M24+N24+O24+P24+Q24+R24+S24</f>
        <v>205.89033333333333</v>
      </c>
      <c r="U24" s="279"/>
    </row>
    <row r="25" spans="1:21" ht="15" customHeight="1">
      <c r="A25" s="279"/>
      <c r="B25" s="1295" t="s">
        <v>540</v>
      </c>
      <c r="C25" s="1157">
        <v>0</v>
      </c>
      <c r="D25" s="1158">
        <v>0.017047</v>
      </c>
      <c r="E25" s="1158">
        <v>1E-06</v>
      </c>
      <c r="F25" s="1158">
        <v>0</v>
      </c>
      <c r="G25" s="1158">
        <v>0</v>
      </c>
      <c r="H25" s="1197">
        <v>0</v>
      </c>
      <c r="I25" s="1197">
        <v>0.013</v>
      </c>
      <c r="J25" s="1198">
        <v>0.0094</v>
      </c>
      <c r="K25" s="1156">
        <f>C25+D25+E25+F25+G25+H25+I25+J25</f>
        <v>0.039448</v>
      </c>
      <c r="L25" s="1196">
        <v>0</v>
      </c>
      <c r="M25" s="1197">
        <v>0.0121666666666667</v>
      </c>
      <c r="N25" s="1197">
        <v>0</v>
      </c>
      <c r="O25" s="1158">
        <v>0</v>
      </c>
      <c r="P25" s="1158">
        <v>0</v>
      </c>
      <c r="Q25" s="1197">
        <v>0</v>
      </c>
      <c r="R25" s="1197">
        <v>0.064</v>
      </c>
      <c r="S25" s="1198">
        <v>0.009</v>
      </c>
      <c r="T25" s="1156">
        <f>L25+M25+N25+O25+P25+Q25+R25+S25</f>
        <v>0.0851666666666667</v>
      </c>
      <c r="U25" s="279"/>
    </row>
    <row r="26" spans="1:21" ht="15" customHeight="1" thickBot="1">
      <c r="A26" s="279"/>
      <c r="B26" s="1191" t="s">
        <v>115</v>
      </c>
      <c r="C26" s="1161">
        <f aca="true" t="shared" si="1" ref="C26:T26">SUM(C21:C25)</f>
        <v>589.0367550000001</v>
      </c>
      <c r="D26" s="1162">
        <f t="shared" si="1"/>
        <v>540.035913</v>
      </c>
      <c r="E26" s="1162">
        <f t="shared" si="1"/>
        <v>575.2969039999999</v>
      </c>
      <c r="F26" s="1162">
        <f t="shared" si="1"/>
        <v>525.2214580000001</v>
      </c>
      <c r="G26" s="1162">
        <f t="shared" si="1"/>
        <v>483.859018</v>
      </c>
      <c r="H26" s="1163">
        <f t="shared" si="1"/>
        <v>449.592</v>
      </c>
      <c r="I26" s="1163">
        <f>SUM(I21:I25)</f>
        <v>461.00899999999996</v>
      </c>
      <c r="J26" s="1165">
        <f>SUM(J21:J25)</f>
        <v>477.22839999999997</v>
      </c>
      <c r="K26" s="1165">
        <f t="shared" si="1"/>
        <v>4101.279448</v>
      </c>
      <c r="L26" s="1164">
        <f t="shared" si="1"/>
        <v>2980.332333333333</v>
      </c>
      <c r="M26" s="1162">
        <f t="shared" si="1"/>
        <v>2776.901833333336</v>
      </c>
      <c r="N26" s="1162">
        <f t="shared" si="1"/>
        <v>3176.070166666663</v>
      </c>
      <c r="O26" s="1162">
        <f t="shared" si="1"/>
        <v>3149.9148333333337</v>
      </c>
      <c r="P26" s="1163">
        <f t="shared" si="1"/>
        <v>2926.9830000000034</v>
      </c>
      <c r="Q26" s="1163">
        <f t="shared" si="1"/>
        <v>2730.74816666667</v>
      </c>
      <c r="R26" s="1163">
        <f>SUM(R21:R25)</f>
        <v>2847.9359999999997</v>
      </c>
      <c r="S26" s="1165">
        <f>SUM(S21:S25)</f>
        <v>2996.512</v>
      </c>
      <c r="T26" s="1165">
        <f t="shared" si="1"/>
        <v>23585.398333333338</v>
      </c>
      <c r="U26" s="279"/>
    </row>
    <row r="27" spans="1:21" ht="15" customHeight="1">
      <c r="A27" s="279"/>
      <c r="B27" s="413" t="s">
        <v>116</v>
      </c>
      <c r="C27" s="293"/>
      <c r="D27" s="1155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1192"/>
      <c r="U27" s="279"/>
    </row>
    <row r="28" spans="1:21" ht="15" customHeight="1">
      <c r="A28" s="279"/>
      <c r="B28" s="111"/>
      <c r="C28" s="1160"/>
      <c r="D28" s="1158"/>
      <c r="E28" s="1158"/>
      <c r="F28" s="1158"/>
      <c r="G28" s="1158"/>
      <c r="H28" s="1197"/>
      <c r="I28" s="1197"/>
      <c r="J28" s="1158"/>
      <c r="K28" s="1197"/>
      <c r="L28" s="1197"/>
      <c r="M28" s="1197"/>
      <c r="N28" s="1158"/>
      <c r="O28" s="1158"/>
      <c r="P28" s="1197"/>
      <c r="Q28" s="1197"/>
      <c r="R28" s="1158"/>
      <c r="S28" s="113"/>
      <c r="T28" s="131"/>
      <c r="U28" s="279"/>
    </row>
    <row r="29" spans="1:21" ht="12.75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</row>
  </sheetData>
  <sheetProtection/>
  <mergeCells count="8">
    <mergeCell ref="C18:K18"/>
    <mergeCell ref="L18:T18"/>
    <mergeCell ref="A1:U1"/>
    <mergeCell ref="B5:T5"/>
    <mergeCell ref="C7:K7"/>
    <mergeCell ref="B3:T3"/>
    <mergeCell ref="B4:T4"/>
    <mergeCell ref="L7:T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O32" sqref="O32"/>
    </sheetView>
  </sheetViews>
  <sheetFormatPr defaultColWidth="11.421875" defaultRowHeight="12.75"/>
  <cols>
    <col min="1" max="1" width="3.140625" style="2" customWidth="1"/>
    <col min="2" max="2" width="15.421875" style="2" customWidth="1"/>
    <col min="3" max="3" width="10.28125" style="2" bestFit="1" customWidth="1"/>
    <col min="4" max="4" width="11.28125" style="2" bestFit="1" customWidth="1"/>
    <col min="5" max="5" width="8.7109375" style="2" customWidth="1"/>
    <col min="6" max="6" width="11.421875" style="2" customWidth="1"/>
    <col min="7" max="7" width="11.851562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1.28125" style="2" bestFit="1" customWidth="1"/>
    <col min="12" max="12" width="13.7109375" style="2" customWidth="1"/>
    <col min="13" max="13" width="2.7109375" style="2" customWidth="1"/>
    <col min="14" max="14" width="11.421875" style="2" customWidth="1"/>
    <col min="15" max="15" width="13.7109375" style="2" bestFit="1" customWidth="1"/>
    <col min="16" max="16" width="11.421875" style="2" customWidth="1"/>
    <col min="17" max="17" width="14.28125" style="2" bestFit="1" customWidth="1"/>
    <col min="18" max="16384" width="11.421875" style="2" customWidth="1"/>
  </cols>
  <sheetData>
    <row r="1" spans="1:13" ht="15" customHeight="1">
      <c r="A1" s="398"/>
      <c r="B1" s="1433" t="s">
        <v>414</v>
      </c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</row>
    <row r="2" spans="1:13" ht="24" customHeight="1">
      <c r="A2" s="398"/>
      <c r="B2" s="1440" t="s">
        <v>117</v>
      </c>
      <c r="C2" s="1441"/>
      <c r="D2" s="1441"/>
      <c r="E2" s="1441"/>
      <c r="F2" s="1441"/>
      <c r="G2" s="1441"/>
      <c r="H2" s="1441"/>
      <c r="I2" s="1441"/>
      <c r="J2" s="1441"/>
      <c r="K2" s="1441"/>
      <c r="L2" s="1442"/>
      <c r="M2" s="398"/>
    </row>
    <row r="3" spans="1:13" ht="12.75" customHeight="1">
      <c r="A3" s="398"/>
      <c r="B3" s="401"/>
      <c r="C3" s="402"/>
      <c r="D3" s="402"/>
      <c r="E3" s="403"/>
      <c r="F3" s="403"/>
      <c r="G3" s="403"/>
      <c r="H3" s="403"/>
      <c r="I3" s="403"/>
      <c r="J3" s="403"/>
      <c r="K3" s="403"/>
      <c r="L3" s="404"/>
      <c r="M3" s="398"/>
    </row>
    <row r="4" spans="1:13" ht="12.75" customHeight="1">
      <c r="A4" s="398"/>
      <c r="B4" s="405" t="s">
        <v>118</v>
      </c>
      <c r="C4" s="1443">
        <v>2016</v>
      </c>
      <c r="D4" s="1444"/>
      <c r="E4" s="1445"/>
      <c r="F4" s="1443">
        <v>2015</v>
      </c>
      <c r="G4" s="1444"/>
      <c r="H4" s="1445"/>
      <c r="I4" s="1443" t="s">
        <v>448</v>
      </c>
      <c r="J4" s="1445"/>
      <c r="K4" s="1443" t="s">
        <v>449</v>
      </c>
      <c r="L4" s="1445"/>
      <c r="M4" s="398"/>
    </row>
    <row r="5" spans="1:13" ht="12.75" customHeight="1">
      <c r="A5" s="398"/>
      <c r="B5" s="406"/>
      <c r="C5" s="386" t="s">
        <v>119</v>
      </c>
      <c r="D5" s="387" t="s">
        <v>120</v>
      </c>
      <c r="E5" s="388" t="s">
        <v>11</v>
      </c>
      <c r="F5" s="386" t="s">
        <v>119</v>
      </c>
      <c r="G5" s="387" t="s">
        <v>120</v>
      </c>
      <c r="H5" s="388" t="s">
        <v>11</v>
      </c>
      <c r="I5" s="389" t="s">
        <v>119</v>
      </c>
      <c r="J5" s="390" t="s">
        <v>120</v>
      </c>
      <c r="K5" s="386" t="s">
        <v>119</v>
      </c>
      <c r="L5" s="407" t="s">
        <v>120</v>
      </c>
      <c r="M5" s="398"/>
    </row>
    <row r="6" spans="1:13" ht="12.75" customHeight="1">
      <c r="A6" s="398"/>
      <c r="B6" s="75" t="s">
        <v>121</v>
      </c>
      <c r="C6" s="408">
        <v>363398.93</v>
      </c>
      <c r="D6" s="408">
        <v>2485113.3</v>
      </c>
      <c r="E6" s="393">
        <f aca="true" t="shared" si="0" ref="E6:E13">(C6*1000)/D6</f>
        <v>146.23032680240374</v>
      </c>
      <c r="F6" s="408">
        <v>546288</v>
      </c>
      <c r="G6" s="408">
        <v>2724750</v>
      </c>
      <c r="H6" s="393">
        <f aca="true" t="shared" si="1" ref="H6:H18">(F6*1000)/G6</f>
        <v>200.49105422515828</v>
      </c>
      <c r="I6" s="391">
        <f>C6+SUM(F13:F18)-F14</f>
        <v>2657344.4299999997</v>
      </c>
      <c r="J6" s="391">
        <f>D6+SUM(G13:G18)-G14</f>
        <v>17472914.1</v>
      </c>
      <c r="K6" s="391">
        <f>C6+SUM(F7:F18)-F14</f>
        <v>5372525.43</v>
      </c>
      <c r="L6" s="391">
        <f>D6+SUM(G7:G18)-G14</f>
        <v>33177597.43666666</v>
      </c>
      <c r="M6" s="514"/>
    </row>
    <row r="7" spans="1:13" ht="12.75" customHeight="1">
      <c r="A7" s="828"/>
      <c r="B7" s="76" t="s">
        <v>122</v>
      </c>
      <c r="C7" s="408">
        <v>396956.485</v>
      </c>
      <c r="D7" s="408">
        <v>2668755.58</v>
      </c>
      <c r="E7" s="419">
        <f t="shared" si="0"/>
        <v>148.74216581497507</v>
      </c>
      <c r="F7" s="408">
        <v>493482</v>
      </c>
      <c r="G7" s="408">
        <v>2513466.67</v>
      </c>
      <c r="H7" s="419">
        <f t="shared" si="1"/>
        <v>196.3352074209124</v>
      </c>
      <c r="I7" s="391">
        <f>SUM(C6:C7)+SUM(F15:F18)</f>
        <v>2630138.915</v>
      </c>
      <c r="J7" s="391">
        <f>SUM(D6+D7)+SUM(G15:G18)</f>
        <v>17471748.68</v>
      </c>
      <c r="K7" s="391">
        <f>SUM(C6+C7)+SUM(F8:F18)-F14</f>
        <v>5275999.914999999</v>
      </c>
      <c r="L7" s="391">
        <f>SUM(D6+D7)+SUM(G8:G18)-G14</f>
        <v>33332886.346666664</v>
      </c>
      <c r="M7" s="514"/>
    </row>
    <row r="8" spans="1:13" ht="12.75" customHeight="1">
      <c r="A8" s="398"/>
      <c r="B8" s="88" t="s">
        <v>123</v>
      </c>
      <c r="C8" s="408">
        <v>405948.702</v>
      </c>
      <c r="D8" s="408">
        <v>2775268.803</v>
      </c>
      <c r="E8" s="419">
        <f t="shared" si="0"/>
        <v>146.27365160491087</v>
      </c>
      <c r="F8" s="408">
        <v>519708</v>
      </c>
      <c r="G8" s="408">
        <v>2860383.3333333335</v>
      </c>
      <c r="H8" s="419">
        <f t="shared" si="1"/>
        <v>181.69173129475652</v>
      </c>
      <c r="I8" s="1140">
        <f>SUM(C6:C8)+SUM(F16:F18)</f>
        <v>2579159.9170000004</v>
      </c>
      <c r="J8" s="391">
        <f>SUM(D6:D8)+SUM(G16:G18)</f>
        <v>17328471.683</v>
      </c>
      <c r="K8" s="391">
        <f>SUM(C6:C8)+SUM(F9:F18)-F14</f>
        <v>5162240.617000001</v>
      </c>
      <c r="L8" s="409">
        <f>SUM(D6:D8)+SUM(G9:G18)-G14</f>
        <v>33247771.81633333</v>
      </c>
      <c r="M8" s="514"/>
    </row>
    <row r="9" spans="1:13" ht="12.75" customHeight="1">
      <c r="A9" s="398"/>
      <c r="B9" s="88" t="s">
        <v>124</v>
      </c>
      <c r="C9" s="391">
        <v>325534.9</v>
      </c>
      <c r="D9" s="391">
        <v>2232325.367</v>
      </c>
      <c r="E9" s="419">
        <f t="shared" si="0"/>
        <v>145.82771168231767</v>
      </c>
      <c r="F9" s="391">
        <v>468848</v>
      </c>
      <c r="G9" s="391">
        <v>2815050</v>
      </c>
      <c r="H9" s="419">
        <f>(F9*1000)/G9</f>
        <v>166.55050531962132</v>
      </c>
      <c r="I9" s="391">
        <f>SUM(C6:C9)+SUM(F17+F18)</f>
        <v>2403000.817</v>
      </c>
      <c r="J9" s="391">
        <f>SUM(D6:D9)+SUM(G17:G18)</f>
        <v>16254298.05</v>
      </c>
      <c r="K9" s="391">
        <f>SUM(C6:C9)+SUM(F10:F18)-F14</f>
        <v>5018927.517000001</v>
      </c>
      <c r="L9" s="409">
        <f>SUM(D6:D9)+SUM(G10:G18)-G14</f>
        <v>32665047.18333333</v>
      </c>
      <c r="M9" s="792"/>
    </row>
    <row r="10" spans="1:13" ht="12.75" customHeight="1">
      <c r="A10" s="398"/>
      <c r="B10" s="88" t="s">
        <v>125</v>
      </c>
      <c r="C10" s="391">
        <v>314619.176</v>
      </c>
      <c r="D10" s="391">
        <v>2167831.2</v>
      </c>
      <c r="E10" s="419">
        <f t="shared" si="0"/>
        <v>145.13084598099704</v>
      </c>
      <c r="F10" s="391">
        <v>434545</v>
      </c>
      <c r="G10" s="391">
        <v>2630416.6666666665</v>
      </c>
      <c r="H10" s="419">
        <f>(F10*1000)/G10</f>
        <v>165.20006336131792</v>
      </c>
      <c r="I10" s="391">
        <f>SUM(C6:C10)+F18</f>
        <v>2256298.993</v>
      </c>
      <c r="J10" s="391">
        <f>SUM(D6:D10)+G18</f>
        <v>15306028.25</v>
      </c>
      <c r="K10" s="391">
        <f>SUM(C6:C10)+SUM(F11:F18)-F14</f>
        <v>4899001.693</v>
      </c>
      <c r="L10" s="409">
        <f>SUM(D6:D10)+SUM(G11:G18)-G14</f>
        <v>32202461.71666666</v>
      </c>
      <c r="M10" s="792"/>
    </row>
    <row r="11" spans="1:13" ht="12.75" customHeight="1">
      <c r="A11" s="398"/>
      <c r="B11" s="88" t="s">
        <v>126</v>
      </c>
      <c r="C11" s="391">
        <v>303318.709</v>
      </c>
      <c r="D11" s="391">
        <v>2064339.7</v>
      </c>
      <c r="E11" s="419">
        <f t="shared" si="0"/>
        <v>146.93255620671346</v>
      </c>
      <c r="F11" s="391">
        <v>392821</v>
      </c>
      <c r="G11" s="391">
        <v>2386266.6666666665</v>
      </c>
      <c r="H11" s="419">
        <f>(F11*1000)/G11</f>
        <v>164.61739397664414</v>
      </c>
      <c r="I11" s="391">
        <f aca="true" t="shared" si="2" ref="I11:J13">SUM(C6:C11)</f>
        <v>2109776.902</v>
      </c>
      <c r="J11" s="391">
        <f t="shared" si="2"/>
        <v>14393633.95</v>
      </c>
      <c r="K11" s="391">
        <f>SUM(C6:C11)+SUM(F12+F13)+SUM(F15:F18)</f>
        <v>4809499.402</v>
      </c>
      <c r="L11" s="409">
        <f>SUM(D6:D11)+SUM(G12:G18)-G14</f>
        <v>31880534.750000007</v>
      </c>
      <c r="M11" s="792"/>
    </row>
    <row r="12" spans="1:13" ht="12.75" customHeight="1">
      <c r="A12" s="398"/>
      <c r="B12" s="88" t="s">
        <v>128</v>
      </c>
      <c r="C12" s="391">
        <v>271397.773</v>
      </c>
      <c r="D12" s="391">
        <v>1737406.45</v>
      </c>
      <c r="E12" s="419">
        <f t="shared" si="0"/>
        <v>156.20856766129768</v>
      </c>
      <c r="F12" s="391">
        <v>405777</v>
      </c>
      <c r="G12" s="391">
        <v>2499100</v>
      </c>
      <c r="H12" s="419">
        <f>(F12*1000)/G12</f>
        <v>162.36925293105517</v>
      </c>
      <c r="I12" s="394">
        <f t="shared" si="2"/>
        <v>2017775.7449999999</v>
      </c>
      <c r="J12" s="392">
        <f t="shared" si="2"/>
        <v>13645927.099999998</v>
      </c>
      <c r="K12" s="392">
        <f>SUM(C6:C12)+F13+SUM(F15:F18)</f>
        <v>4675120.175</v>
      </c>
      <c r="L12" s="410">
        <f>SUM(D6:D12)+SUM(G13:G18)-G14</f>
        <v>31118841.200000003</v>
      </c>
      <c r="M12" s="514"/>
    </row>
    <row r="13" spans="1:13" ht="12.75" customHeight="1">
      <c r="A13" s="398"/>
      <c r="B13" s="88" t="s">
        <v>129</v>
      </c>
      <c r="C13" s="408">
        <v>422169.566</v>
      </c>
      <c r="D13" s="408">
        <v>2624624.65</v>
      </c>
      <c r="E13" s="419">
        <f t="shared" si="0"/>
        <v>160.84950128011639</v>
      </c>
      <c r="F13" s="408">
        <v>424162</v>
      </c>
      <c r="G13" s="408">
        <v>2669921</v>
      </c>
      <c r="H13" s="419">
        <f t="shared" si="1"/>
        <v>158.86687284005782</v>
      </c>
      <c r="I13" s="394">
        <f t="shared" si="2"/>
        <v>2042988.826</v>
      </c>
      <c r="J13" s="392">
        <f t="shared" si="2"/>
        <v>13601796.17</v>
      </c>
      <c r="K13" s="392">
        <f>SUM(C6:C13)+SUM(F15:F18)</f>
        <v>4673127.741</v>
      </c>
      <c r="L13" s="410">
        <f>SUM(D6:D13)+SUM(G15:G18)</f>
        <v>31073544.849999998</v>
      </c>
      <c r="M13" s="514"/>
    </row>
    <row r="14" spans="1:13" ht="12.75" customHeight="1">
      <c r="A14" s="398"/>
      <c r="B14" s="733" t="s">
        <v>467</v>
      </c>
      <c r="C14" s="826">
        <f>SUM(C6:C13)</f>
        <v>2803344.241</v>
      </c>
      <c r="D14" s="826">
        <f>SUM(D6:D13)</f>
        <v>18755665.049999997</v>
      </c>
      <c r="E14" s="396">
        <f>(C14*1000)/D14</f>
        <v>149.4665336327277</v>
      </c>
      <c r="F14" s="826">
        <f>SUM(F6:F13)</f>
        <v>3685631</v>
      </c>
      <c r="G14" s="826">
        <f>SUM(G6:G13)</f>
        <v>21099354.336666666</v>
      </c>
      <c r="H14" s="396">
        <f>(F14*1000)/G14</f>
        <v>174.67980020578517</v>
      </c>
      <c r="I14" s="391"/>
      <c r="J14" s="391"/>
      <c r="K14" s="391"/>
      <c r="L14" s="391"/>
      <c r="M14" s="514"/>
    </row>
    <row r="15" spans="1:13" ht="12.75" customHeight="1">
      <c r="A15" s="398"/>
      <c r="B15" s="88" t="s">
        <v>130</v>
      </c>
      <c r="C15" s="391"/>
      <c r="D15" s="391"/>
      <c r="E15" s="419"/>
      <c r="F15" s="391">
        <v>456927.7</v>
      </c>
      <c r="G15" s="391">
        <v>2918545.8</v>
      </c>
      <c r="H15" s="419">
        <f t="shared" si="1"/>
        <v>156.5600580946854</v>
      </c>
      <c r="I15" s="391"/>
      <c r="J15" s="391"/>
      <c r="K15" s="391"/>
      <c r="L15" s="391"/>
      <c r="M15" s="514"/>
    </row>
    <row r="16" spans="1:13" ht="12.75" customHeight="1">
      <c r="A16" s="398"/>
      <c r="B16" s="88" t="s">
        <v>131</v>
      </c>
      <c r="C16" s="391"/>
      <c r="D16" s="391"/>
      <c r="E16" s="419"/>
      <c r="F16" s="391">
        <v>501694</v>
      </c>
      <c r="G16" s="391">
        <v>3306499</v>
      </c>
      <c r="H16" s="419">
        <f t="shared" si="1"/>
        <v>151.72966935722647</v>
      </c>
      <c r="I16" s="391"/>
      <c r="J16" s="391"/>
      <c r="K16" s="391"/>
      <c r="L16" s="391"/>
      <c r="M16" s="515"/>
    </row>
    <row r="17" spans="1:13" ht="12.75" customHeight="1">
      <c r="A17" s="398"/>
      <c r="B17" s="88" t="s">
        <v>132</v>
      </c>
      <c r="C17" s="391"/>
      <c r="D17" s="391"/>
      <c r="E17" s="419"/>
      <c r="F17" s="391">
        <v>461321</v>
      </c>
      <c r="G17" s="391">
        <v>3116101</v>
      </c>
      <c r="H17" s="419">
        <f t="shared" si="1"/>
        <v>148.04430280019807</v>
      </c>
      <c r="I17" s="391"/>
      <c r="J17" s="391"/>
      <c r="K17" s="391"/>
      <c r="L17" s="409"/>
      <c r="M17" s="721"/>
    </row>
    <row r="18" spans="1:13" ht="12.75" customHeight="1">
      <c r="A18" s="398"/>
      <c r="B18" s="88" t="s">
        <v>133</v>
      </c>
      <c r="C18" s="394"/>
      <c r="D18" s="392"/>
      <c r="E18" s="395"/>
      <c r="F18" s="394">
        <v>449840.8</v>
      </c>
      <c r="G18" s="392">
        <v>2976734</v>
      </c>
      <c r="H18" s="395">
        <f t="shared" si="1"/>
        <v>151.1189108600231</v>
      </c>
      <c r="I18" s="394"/>
      <c r="J18" s="392"/>
      <c r="K18" s="392"/>
      <c r="L18" s="410"/>
      <c r="M18" s="398"/>
    </row>
    <row r="19" spans="1:13" ht="12.75" customHeight="1">
      <c r="A19" s="398"/>
      <c r="B19" s="411" t="s">
        <v>115</v>
      </c>
      <c r="C19" s="394">
        <f>C14</f>
        <v>2803344.241</v>
      </c>
      <c r="D19" s="757">
        <f>D14</f>
        <v>18755665.049999997</v>
      </c>
      <c r="E19" s="396">
        <f>(C19*1000)/D19</f>
        <v>149.4665336327277</v>
      </c>
      <c r="F19" s="394">
        <f>SUM(F6:F18)-F14</f>
        <v>5555414.5</v>
      </c>
      <c r="G19" s="757">
        <f>SUM(G6:G18)-G14</f>
        <v>33417234.136666663</v>
      </c>
      <c r="H19" s="395">
        <f>(F19*1000)/G19</f>
        <v>166.243994858461</v>
      </c>
      <c r="I19" s="289"/>
      <c r="J19" s="289"/>
      <c r="K19" s="289"/>
      <c r="L19" s="412"/>
      <c r="M19" s="398"/>
    </row>
    <row r="20" spans="1:13" ht="12" customHeight="1">
      <c r="A20" s="398"/>
      <c r="B20" s="413" t="s">
        <v>116</v>
      </c>
      <c r="C20" s="414"/>
      <c r="D20" s="414"/>
      <c r="E20" s="133"/>
      <c r="F20" s="397" t="s">
        <v>142</v>
      </c>
      <c r="G20" s="415"/>
      <c r="H20" s="133"/>
      <c r="I20" s="133"/>
      <c r="J20" s="397" t="s">
        <v>135</v>
      </c>
      <c r="K20" s="133"/>
      <c r="L20" s="76"/>
      <c r="M20" s="398"/>
    </row>
    <row r="21" spans="1:13" ht="12" customHeight="1">
      <c r="A21" s="398"/>
      <c r="B21" s="413" t="s">
        <v>320</v>
      </c>
      <c r="C21" s="414"/>
      <c r="D21" s="414"/>
      <c r="E21" s="133"/>
      <c r="F21" s="397" t="s">
        <v>134</v>
      </c>
      <c r="G21" s="415"/>
      <c r="H21" s="133"/>
      <c r="I21" s="133"/>
      <c r="J21" s="397" t="s">
        <v>136</v>
      </c>
      <c r="K21" s="133"/>
      <c r="L21" s="76"/>
      <c r="M21" s="398"/>
    </row>
    <row r="22" spans="1:13" ht="15" customHeight="1">
      <c r="A22" s="398"/>
      <c r="B22" s="413"/>
      <c r="C22" s="414"/>
      <c r="D22" s="414"/>
      <c r="E22" s="133"/>
      <c r="F22" s="397"/>
      <c r="G22" s="415"/>
      <c r="H22" s="133"/>
      <c r="I22" s="133"/>
      <c r="J22" s="397"/>
      <c r="K22" s="133"/>
      <c r="L22" s="76"/>
      <c r="M22" s="398"/>
    </row>
    <row r="23" spans="1:13" ht="15" customHeight="1">
      <c r="A23" s="398"/>
      <c r="B23" s="413"/>
      <c r="C23" s="414"/>
      <c r="D23" s="414"/>
      <c r="E23" s="133"/>
      <c r="F23" s="397"/>
      <c r="G23" s="415"/>
      <c r="H23" s="133"/>
      <c r="I23" s="133"/>
      <c r="J23" s="397"/>
      <c r="K23" s="133"/>
      <c r="L23" s="76"/>
      <c r="M23" s="398"/>
    </row>
    <row r="24" spans="1:13" ht="15" customHeight="1">
      <c r="A24" s="398"/>
      <c r="B24" s="140"/>
      <c r="C24" s="414"/>
      <c r="D24" s="414"/>
      <c r="E24" s="133"/>
      <c r="F24" s="415"/>
      <c r="G24" s="415"/>
      <c r="H24" s="133"/>
      <c r="I24" s="133"/>
      <c r="J24" s="133"/>
      <c r="K24" s="133"/>
      <c r="L24" s="76"/>
      <c r="M24" s="398"/>
    </row>
    <row r="25" spans="1:13" ht="15" customHeight="1">
      <c r="A25" s="398"/>
      <c r="B25" s="416"/>
      <c r="C25" s="414"/>
      <c r="D25" s="414"/>
      <c r="E25" s="141"/>
      <c r="F25" s="141"/>
      <c r="G25" s="141"/>
      <c r="H25" s="141"/>
      <c r="I25" s="141"/>
      <c r="J25" s="141"/>
      <c r="K25" s="141"/>
      <c r="L25" s="142"/>
      <c r="M25" s="398"/>
    </row>
    <row r="26" spans="1:13" ht="15" customHeight="1">
      <c r="A26" s="398"/>
      <c r="B26" s="138"/>
      <c r="C26" s="133"/>
      <c r="D26" s="133"/>
      <c r="E26" s="133"/>
      <c r="F26" s="133"/>
      <c r="G26" s="133"/>
      <c r="H26" s="133"/>
      <c r="I26" s="133"/>
      <c r="J26" s="133"/>
      <c r="K26" s="133"/>
      <c r="L26" s="76"/>
      <c r="M26" s="398"/>
    </row>
    <row r="27" spans="1:13" ht="15" customHeight="1">
      <c r="A27" s="398"/>
      <c r="B27" s="138"/>
      <c r="C27" s="133"/>
      <c r="D27" s="133"/>
      <c r="E27" s="133"/>
      <c r="F27" s="133"/>
      <c r="G27" s="133"/>
      <c r="H27" s="133"/>
      <c r="I27" s="133"/>
      <c r="J27" s="133"/>
      <c r="K27" s="133"/>
      <c r="L27" s="76"/>
      <c r="M27" s="398"/>
    </row>
    <row r="28" spans="1:13" ht="15" customHeight="1">
      <c r="A28" s="398"/>
      <c r="B28" s="138"/>
      <c r="C28" s="133"/>
      <c r="D28" s="133"/>
      <c r="E28" s="133"/>
      <c r="F28" s="133"/>
      <c r="G28" s="133"/>
      <c r="H28" s="133"/>
      <c r="I28" s="133"/>
      <c r="J28" s="133"/>
      <c r="K28" s="133"/>
      <c r="L28" s="76"/>
      <c r="M28" s="398"/>
    </row>
    <row r="29" spans="1:13" ht="15" customHeight="1">
      <c r="A29" s="398"/>
      <c r="B29" s="138"/>
      <c r="C29" s="133"/>
      <c r="D29" s="133"/>
      <c r="E29" s="133"/>
      <c r="F29" s="133"/>
      <c r="G29" s="133"/>
      <c r="H29" s="133"/>
      <c r="I29" s="133"/>
      <c r="J29" s="133"/>
      <c r="K29" s="133"/>
      <c r="L29" s="76"/>
      <c r="M29" s="398"/>
    </row>
    <row r="30" spans="1:13" ht="15" customHeight="1">
      <c r="A30" s="398"/>
      <c r="B30" s="138"/>
      <c r="C30" s="133"/>
      <c r="D30" s="133"/>
      <c r="E30" s="133"/>
      <c r="F30" s="133"/>
      <c r="G30" s="133"/>
      <c r="H30" s="133"/>
      <c r="I30" s="133"/>
      <c r="J30" s="133"/>
      <c r="K30" s="133"/>
      <c r="L30" s="76"/>
      <c r="M30" s="398"/>
    </row>
    <row r="31" spans="1:13" ht="15" customHeight="1">
      <c r="A31" s="398"/>
      <c r="B31" s="138"/>
      <c r="C31" s="133"/>
      <c r="D31" s="133"/>
      <c r="E31" s="133"/>
      <c r="F31" s="133"/>
      <c r="G31" s="133"/>
      <c r="H31" s="133"/>
      <c r="I31" s="133"/>
      <c r="J31" s="133"/>
      <c r="K31" s="133"/>
      <c r="L31" s="76"/>
      <c r="M31" s="398"/>
    </row>
    <row r="32" spans="1:13" ht="15" customHeight="1">
      <c r="A32" s="398"/>
      <c r="B32" s="138"/>
      <c r="C32" s="133"/>
      <c r="D32" s="133"/>
      <c r="E32" s="133"/>
      <c r="F32" s="133"/>
      <c r="G32" s="133"/>
      <c r="H32" s="133"/>
      <c r="I32" s="133"/>
      <c r="J32" s="133"/>
      <c r="K32" s="133"/>
      <c r="L32" s="76"/>
      <c r="M32" s="398"/>
    </row>
    <row r="33" spans="1:13" ht="15" customHeight="1">
      <c r="A33" s="398"/>
      <c r="B33" s="417"/>
      <c r="C33" s="112"/>
      <c r="D33" s="112"/>
      <c r="E33" s="112"/>
      <c r="F33" s="112"/>
      <c r="G33" s="112"/>
      <c r="H33" s="112"/>
      <c r="I33" s="112"/>
      <c r="J33" s="112"/>
      <c r="K33" s="112"/>
      <c r="L33" s="418"/>
      <c r="M33" s="398"/>
    </row>
    <row r="34" spans="1:13" ht="15" customHeight="1">
      <c r="A34" s="398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398"/>
    </row>
    <row r="35" spans="2:12" ht="14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4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4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4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4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4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4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4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4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4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4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4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</sheetData>
  <sheetProtection/>
  <mergeCells count="6">
    <mergeCell ref="B1:M1"/>
    <mergeCell ref="B2:L2"/>
    <mergeCell ref="C4:E4"/>
    <mergeCell ref="F4:H4"/>
    <mergeCell ref="I4:J4"/>
    <mergeCell ref="K4:L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O31" sqref="O31"/>
    </sheetView>
  </sheetViews>
  <sheetFormatPr defaultColWidth="11.421875" defaultRowHeight="12.75"/>
  <cols>
    <col min="1" max="1" width="3.140625" style="2" customWidth="1"/>
    <col min="2" max="2" width="15.421875" style="2" customWidth="1"/>
    <col min="3" max="3" width="8.7109375" style="2" bestFit="1" customWidth="1"/>
    <col min="4" max="4" width="10.28125" style="2" bestFit="1" customWidth="1"/>
    <col min="5" max="5" width="8.7109375" style="2" customWidth="1"/>
    <col min="6" max="6" width="10.7109375" style="2" customWidth="1"/>
    <col min="7" max="7" width="11.851562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1875" style="2" customWidth="1"/>
  </cols>
  <sheetData>
    <row r="1" spans="1:13" ht="15" customHeight="1">
      <c r="A1" s="398"/>
      <c r="B1" s="1433" t="s">
        <v>415</v>
      </c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</row>
    <row r="2" spans="1:13" ht="24.75" customHeight="1">
      <c r="A2" s="398"/>
      <c r="B2" s="1440" t="s">
        <v>137</v>
      </c>
      <c r="C2" s="1441"/>
      <c r="D2" s="1441"/>
      <c r="E2" s="1441"/>
      <c r="F2" s="1441"/>
      <c r="G2" s="1441"/>
      <c r="H2" s="1441"/>
      <c r="I2" s="1441"/>
      <c r="J2" s="1441"/>
      <c r="K2" s="1441"/>
      <c r="L2" s="1442"/>
      <c r="M2" s="398"/>
    </row>
    <row r="3" spans="1:13" ht="13.5" customHeight="1">
      <c r="A3" s="398"/>
      <c r="B3" s="401"/>
      <c r="C3" s="402"/>
      <c r="D3" s="402"/>
      <c r="E3" s="403"/>
      <c r="F3" s="403"/>
      <c r="G3" s="403"/>
      <c r="H3" s="403"/>
      <c r="I3" s="403"/>
      <c r="J3" s="403"/>
      <c r="K3" s="403"/>
      <c r="L3" s="404"/>
      <c r="M3" s="398"/>
    </row>
    <row r="4" spans="1:13" ht="12.75" customHeight="1">
      <c r="A4" s="398"/>
      <c r="B4" s="405" t="s">
        <v>118</v>
      </c>
      <c r="C4" s="1443">
        <v>2016</v>
      </c>
      <c r="D4" s="1444"/>
      <c r="E4" s="1445"/>
      <c r="F4" s="1443">
        <v>2015</v>
      </c>
      <c r="G4" s="1444"/>
      <c r="H4" s="1445"/>
      <c r="I4" s="1443" t="s">
        <v>448</v>
      </c>
      <c r="J4" s="1445"/>
      <c r="K4" s="1443" t="s">
        <v>449</v>
      </c>
      <c r="L4" s="1445"/>
      <c r="M4" s="398"/>
    </row>
    <row r="5" spans="1:13" ht="12.75" customHeight="1">
      <c r="A5" s="398"/>
      <c r="B5" s="406"/>
      <c r="C5" s="386" t="s">
        <v>119</v>
      </c>
      <c r="D5" s="387" t="s">
        <v>120</v>
      </c>
      <c r="E5" s="388" t="s">
        <v>11</v>
      </c>
      <c r="F5" s="386" t="s">
        <v>119</v>
      </c>
      <c r="G5" s="387" t="s">
        <v>120</v>
      </c>
      <c r="H5" s="388" t="s">
        <v>11</v>
      </c>
      <c r="I5" s="389" t="s">
        <v>119</v>
      </c>
      <c r="J5" s="390" t="s">
        <v>120</v>
      </c>
      <c r="K5" s="386" t="s">
        <v>119</v>
      </c>
      <c r="L5" s="407" t="s">
        <v>120</v>
      </c>
      <c r="M5" s="398"/>
    </row>
    <row r="6" spans="1:13" ht="12.75" customHeight="1">
      <c r="A6" s="398"/>
      <c r="B6" s="724" t="s">
        <v>121</v>
      </c>
      <c r="C6" s="736">
        <v>37861.644</v>
      </c>
      <c r="D6" s="736">
        <v>250387.41</v>
      </c>
      <c r="E6" s="726">
        <f aca="true" t="shared" si="0" ref="E6:E13">(C6*1000)/D6</f>
        <v>151.21225144666818</v>
      </c>
      <c r="F6" s="736">
        <v>39831</v>
      </c>
      <c r="G6" s="736">
        <v>228973.33333333334</v>
      </c>
      <c r="H6" s="726">
        <f>(F6*1000)/G6</f>
        <v>173.95475455657134</v>
      </c>
      <c r="I6" s="391">
        <f>C6+SUM(F13:F18)-F14</f>
        <v>263635.94699999987</v>
      </c>
      <c r="J6" s="391">
        <f>D6+SUM(G13:G18)-G14</f>
        <v>1684886.4529999997</v>
      </c>
      <c r="K6" s="391">
        <f>C6+SUM(F7:F18)-F14</f>
        <v>554434.9469999999</v>
      </c>
      <c r="L6" s="1201">
        <f>D6+SUM(G7:G18)-G14</f>
        <v>3406302.7863333337</v>
      </c>
      <c r="M6" s="398"/>
    </row>
    <row r="7" spans="1:13" ht="12.75" customHeight="1">
      <c r="A7" s="398"/>
      <c r="B7" s="727" t="s">
        <v>122</v>
      </c>
      <c r="C7" s="736">
        <v>47089.56</v>
      </c>
      <c r="D7" s="736">
        <v>318061.08</v>
      </c>
      <c r="E7" s="728">
        <f t="shared" si="0"/>
        <v>148.05194021223846</v>
      </c>
      <c r="F7" s="736">
        <v>42123</v>
      </c>
      <c r="G7" s="736">
        <v>235993.33333333334</v>
      </c>
      <c r="H7" s="728">
        <f>(F7*1000)/G7</f>
        <v>178.49233029181616</v>
      </c>
      <c r="I7" s="391">
        <f>SUM(C6:C7)+SUM(F15:F18)</f>
        <v>260547.442</v>
      </c>
      <c r="J7" s="391">
        <f>SUM(D6+D7)+SUM(G15:G18)</f>
        <v>1695986.4200000002</v>
      </c>
      <c r="K7" s="391">
        <f>SUM(C6+C7)+SUM(F8:F18)-F14</f>
        <v>559401.507</v>
      </c>
      <c r="L7" s="409">
        <f>SUM(D6+D7)+SUM(G8:G18)-G14</f>
        <v>3488370.5330000008</v>
      </c>
      <c r="M7" s="398"/>
    </row>
    <row r="8" spans="1:13" ht="12.75" customHeight="1">
      <c r="A8" s="398"/>
      <c r="B8" s="727" t="s">
        <v>123</v>
      </c>
      <c r="C8" s="736">
        <v>45282.055</v>
      </c>
      <c r="D8" s="736">
        <v>306639.143</v>
      </c>
      <c r="E8" s="728">
        <f t="shared" si="0"/>
        <v>147.6721287340671</v>
      </c>
      <c r="F8" s="736">
        <v>50779</v>
      </c>
      <c r="G8" s="736">
        <v>289813.3333333333</v>
      </c>
      <c r="H8" s="728">
        <f aca="true" t="shared" si="1" ref="H8:H17">(F8*1000)/G8</f>
        <v>175.21278064041223</v>
      </c>
      <c r="I8" s="1140">
        <f>SUM(C6:C8)+SUM(F16:F18)</f>
        <v>258174.897</v>
      </c>
      <c r="J8" s="391">
        <f>SUM(D6:D8)+SUM(G16:G18)</f>
        <v>1704879.163</v>
      </c>
      <c r="K8" s="391">
        <f>SUM(C6:C8)+SUM(F9:F18)-F14</f>
        <v>553904.5619999999</v>
      </c>
      <c r="L8" s="409">
        <f>SUM(D6:D8)+SUM(G9:G18)-G14</f>
        <v>3505196.342666666</v>
      </c>
      <c r="M8" s="398"/>
    </row>
    <row r="9" spans="1:13" ht="12.75" customHeight="1">
      <c r="A9" s="398"/>
      <c r="B9" s="727" t="s">
        <v>124</v>
      </c>
      <c r="C9" s="736">
        <v>40252.156</v>
      </c>
      <c r="D9" s="736">
        <v>265805.1733</v>
      </c>
      <c r="E9" s="728">
        <f t="shared" si="0"/>
        <v>151.4348103171399</v>
      </c>
      <c r="F9" s="736">
        <v>51658</v>
      </c>
      <c r="G9" s="736">
        <v>306626.6666666667</v>
      </c>
      <c r="H9" s="728">
        <f t="shared" si="1"/>
        <v>168.4719746053833</v>
      </c>
      <c r="I9" s="391">
        <f>SUM(C6:C9)+SUM(F17+F18)</f>
        <v>251458.566</v>
      </c>
      <c r="J9" s="391">
        <f>SUM(D6:D9)+SUM(G17:G18)</f>
        <v>1671907.8062999998</v>
      </c>
      <c r="K9" s="391">
        <f>SUM(C6:C9)+SUM(F10:F18)-F14</f>
        <v>542498.7179999999</v>
      </c>
      <c r="L9" s="409">
        <f>SUM(D6:D9)+SUM(G10:G18)-G14</f>
        <v>3464374.8493</v>
      </c>
      <c r="M9" s="398"/>
    </row>
    <row r="10" spans="1:13" ht="12.75" customHeight="1">
      <c r="A10" s="398"/>
      <c r="B10" s="727" t="s">
        <v>125</v>
      </c>
      <c r="C10" s="736">
        <v>40721.891</v>
      </c>
      <c r="D10" s="736">
        <v>269620.454</v>
      </c>
      <c r="E10" s="728">
        <f t="shared" si="0"/>
        <v>151.0341311123228</v>
      </c>
      <c r="F10" s="736">
        <v>44442</v>
      </c>
      <c r="G10" s="736">
        <v>266023.3333333333</v>
      </c>
      <c r="H10" s="728">
        <f t="shared" si="1"/>
        <v>167.06053353715842</v>
      </c>
      <c r="I10" s="391">
        <f>SUM(C6:C10)+F18</f>
        <v>257714.457</v>
      </c>
      <c r="J10" s="391">
        <f>SUM(D6:D10)+G18</f>
        <v>1717045.2602999997</v>
      </c>
      <c r="K10" s="391">
        <f>SUM(C6:C10)+SUM(F11:F18)-F14</f>
        <v>538778.6089999999</v>
      </c>
      <c r="L10" s="409">
        <f>SUM(D6:D10)+SUM(G11:G18)-G14</f>
        <v>3467971.969966666</v>
      </c>
      <c r="M10" s="398"/>
    </row>
    <row r="11" spans="1:13" ht="12.75" customHeight="1">
      <c r="A11" s="398"/>
      <c r="B11" s="727" t="s">
        <v>126</v>
      </c>
      <c r="C11" s="736">
        <v>45206.985</v>
      </c>
      <c r="D11" s="736">
        <v>305736.64</v>
      </c>
      <c r="E11" s="728">
        <f t="shared" si="0"/>
        <v>147.8625034932025</v>
      </c>
      <c r="F11" s="736">
        <v>51099</v>
      </c>
      <c r="G11" s="736">
        <v>307406.6666666667</v>
      </c>
      <c r="H11" s="728">
        <f t="shared" si="1"/>
        <v>166.22606319533298</v>
      </c>
      <c r="I11" s="391">
        <f aca="true" t="shared" si="2" ref="I11:J13">SUM(C6:C11)</f>
        <v>256414.29099999997</v>
      </c>
      <c r="J11" s="391">
        <f t="shared" si="2"/>
        <v>1716249.9002999999</v>
      </c>
      <c r="K11" s="391">
        <f>SUM(C6:C11)+SUM(F12+F13)+SUM(F15:F18)</f>
        <v>532886.594</v>
      </c>
      <c r="L11" s="409">
        <f>SUM(D6:D11)+SUM(G12:G18)-G14</f>
        <v>3466301.9432999995</v>
      </c>
      <c r="M11" s="398"/>
    </row>
    <row r="12" spans="1:13" ht="12.75" customHeight="1">
      <c r="A12" s="398"/>
      <c r="B12" s="727" t="s">
        <v>128</v>
      </c>
      <c r="C12" s="736">
        <v>47333.128</v>
      </c>
      <c r="D12" s="736">
        <v>307123.473333333</v>
      </c>
      <c r="E12" s="728">
        <f t="shared" si="0"/>
        <v>154.11758497738637</v>
      </c>
      <c r="F12" s="736">
        <v>50698</v>
      </c>
      <c r="G12" s="736">
        <v>315553</v>
      </c>
      <c r="H12" s="728">
        <f t="shared" si="1"/>
        <v>160.66397720826612</v>
      </c>
      <c r="I12" s="394">
        <f t="shared" si="2"/>
        <v>265885.775</v>
      </c>
      <c r="J12" s="392">
        <f t="shared" si="2"/>
        <v>1772985.963633333</v>
      </c>
      <c r="K12" s="392">
        <f>SUM(C6:C12)+F13+SUM(F15:F18)</f>
        <v>529521.7220000001</v>
      </c>
      <c r="L12" s="410">
        <f>SUM(D6:D12)+SUM(G13:G18)-G14</f>
        <v>3457872.416633332</v>
      </c>
      <c r="M12" s="398"/>
    </row>
    <row r="13" spans="1:13" ht="12.75" customHeight="1">
      <c r="A13" s="398"/>
      <c r="B13" s="727" t="s">
        <v>129</v>
      </c>
      <c r="C13" s="736">
        <v>50337.484</v>
      </c>
      <c r="D13" s="736">
        <v>316419.043333333</v>
      </c>
      <c r="E13" s="728">
        <f t="shared" si="0"/>
        <v>159.08487513809897</v>
      </c>
      <c r="F13" s="736">
        <v>50178.065</v>
      </c>
      <c r="G13" s="736">
        <v>306961.113</v>
      </c>
      <c r="H13" s="728">
        <f t="shared" si="1"/>
        <v>163.4671718172979</v>
      </c>
      <c r="I13" s="394">
        <f t="shared" si="2"/>
        <v>269133.699</v>
      </c>
      <c r="J13" s="392">
        <f t="shared" si="2"/>
        <v>1771343.926966666</v>
      </c>
      <c r="K13" s="392">
        <f>SUM(C6:C13)+SUM(F15:F18)</f>
        <v>529681.1410000001</v>
      </c>
      <c r="L13" s="410">
        <f>SUM(D6:D13)+SUM(G15:G18)</f>
        <v>3467330.3469666657</v>
      </c>
      <c r="M13" s="398"/>
    </row>
    <row r="14" spans="1:13" ht="12.75" customHeight="1">
      <c r="A14" s="398"/>
      <c r="B14" s="733" t="s">
        <v>467</v>
      </c>
      <c r="C14" s="826">
        <f>SUM(C6:C13)</f>
        <v>354084.903</v>
      </c>
      <c r="D14" s="826">
        <f>SUM(D6:D13)</f>
        <v>2339792.4169666655</v>
      </c>
      <c r="E14" s="396">
        <f>(C14*1000)/D14</f>
        <v>151.33175936138807</v>
      </c>
      <c r="F14" s="826">
        <f>SUM(F6:F13)</f>
        <v>380808.065</v>
      </c>
      <c r="G14" s="826">
        <f>SUM(G6:G13)</f>
        <v>2257350.779666667</v>
      </c>
      <c r="H14" s="396">
        <f>(F14*1000)/G14</f>
        <v>168.696893912178</v>
      </c>
      <c r="I14" s="391"/>
      <c r="J14" s="391"/>
      <c r="K14" s="391"/>
      <c r="L14" s="409"/>
      <c r="M14" s="398"/>
    </row>
    <row r="15" spans="1:13" ht="12.75" customHeight="1">
      <c r="A15" s="398"/>
      <c r="B15" s="727" t="s">
        <v>130</v>
      </c>
      <c r="C15" s="736"/>
      <c r="D15" s="736"/>
      <c r="E15" s="728"/>
      <c r="F15" s="736">
        <v>47654.6</v>
      </c>
      <c r="G15" s="736">
        <v>297746.4</v>
      </c>
      <c r="H15" s="728">
        <f t="shared" si="1"/>
        <v>160.0509695499257</v>
      </c>
      <c r="I15" s="391"/>
      <c r="J15" s="391"/>
      <c r="K15" s="391"/>
      <c r="L15" s="409"/>
      <c r="M15" s="398"/>
    </row>
    <row r="16" spans="1:13" ht="12.75" customHeight="1">
      <c r="A16" s="398"/>
      <c r="B16" s="727" t="s">
        <v>131</v>
      </c>
      <c r="C16" s="736"/>
      <c r="D16" s="736"/>
      <c r="E16" s="728"/>
      <c r="F16" s="736">
        <v>46968.487</v>
      </c>
      <c r="G16" s="736">
        <v>298776.53</v>
      </c>
      <c r="H16" s="728">
        <f t="shared" si="1"/>
        <v>157.20273275815873</v>
      </c>
      <c r="I16" s="391"/>
      <c r="J16" s="391"/>
      <c r="K16" s="391"/>
      <c r="L16" s="409"/>
      <c r="M16" s="399"/>
    </row>
    <row r="17" spans="1:13" ht="12.75" customHeight="1">
      <c r="A17" s="398"/>
      <c r="B17" s="727" t="s">
        <v>132</v>
      </c>
      <c r="C17" s="736"/>
      <c r="D17" s="736"/>
      <c r="E17" s="728"/>
      <c r="F17" s="736">
        <v>34466</v>
      </c>
      <c r="G17" s="736">
        <v>224483</v>
      </c>
      <c r="H17" s="728">
        <f t="shared" si="1"/>
        <v>153.5350115598954</v>
      </c>
      <c r="I17" s="391"/>
      <c r="J17" s="391"/>
      <c r="K17" s="391"/>
      <c r="L17" s="409"/>
      <c r="M17" s="398"/>
    </row>
    <row r="18" spans="1:13" ht="12.75" customHeight="1">
      <c r="A18" s="398"/>
      <c r="B18" s="727" t="s">
        <v>133</v>
      </c>
      <c r="C18" s="731"/>
      <c r="D18" s="732"/>
      <c r="E18" s="735"/>
      <c r="F18" s="731">
        <v>46507.151</v>
      </c>
      <c r="G18" s="732">
        <v>306532</v>
      </c>
      <c r="H18" s="735">
        <f>(F18*1000)/G18</f>
        <v>151.7203782965563</v>
      </c>
      <c r="I18" s="394"/>
      <c r="J18" s="392"/>
      <c r="K18" s="392"/>
      <c r="L18" s="410"/>
      <c r="M18" s="398"/>
    </row>
    <row r="19" spans="1:13" ht="12.75" customHeight="1">
      <c r="A19" s="398"/>
      <c r="B19" s="733" t="s">
        <v>115</v>
      </c>
      <c r="C19" s="731">
        <f>SUM(C6:C18)-C14</f>
        <v>354084.903</v>
      </c>
      <c r="D19" s="750">
        <f>SUM(D6:D18)-D14</f>
        <v>2339792.4169666655</v>
      </c>
      <c r="E19" s="735">
        <f>(C19*1000)/D19</f>
        <v>151.33175936138807</v>
      </c>
      <c r="F19" s="750">
        <f>SUM(F6:F18)-F14</f>
        <v>556404.3029999998</v>
      </c>
      <c r="G19" s="750">
        <f>SUM(G6:G18)-G14</f>
        <v>3384888.7096666675</v>
      </c>
      <c r="H19" s="734">
        <f>(F19*1000)/G19</f>
        <v>164.3789059920947</v>
      </c>
      <c r="I19" s="497"/>
      <c r="J19" s="497"/>
      <c r="K19" s="497"/>
      <c r="L19" s="552"/>
      <c r="M19" s="398"/>
    </row>
    <row r="20" spans="1:13" ht="12" customHeight="1">
      <c r="A20" s="398"/>
      <c r="B20" s="413" t="s">
        <v>116</v>
      </c>
      <c r="C20" s="414"/>
      <c r="D20" s="414"/>
      <c r="E20" s="133"/>
      <c r="F20" s="397" t="s">
        <v>143</v>
      </c>
      <c r="G20" s="415"/>
      <c r="H20" s="133"/>
      <c r="I20" s="133"/>
      <c r="J20" s="397" t="s">
        <v>135</v>
      </c>
      <c r="K20" s="133"/>
      <c r="L20" s="76"/>
      <c r="M20" s="398"/>
    </row>
    <row r="21" spans="1:13" ht="12" customHeight="1">
      <c r="A21" s="398"/>
      <c r="B21" s="413" t="s">
        <v>320</v>
      </c>
      <c r="C21" s="414"/>
      <c r="D21" s="414"/>
      <c r="E21" s="133"/>
      <c r="F21" s="397" t="s">
        <v>134</v>
      </c>
      <c r="G21" s="415"/>
      <c r="H21" s="133"/>
      <c r="I21" s="133"/>
      <c r="J21" s="397" t="s">
        <v>136</v>
      </c>
      <c r="K21" s="133"/>
      <c r="L21" s="76"/>
      <c r="M21" s="398"/>
    </row>
    <row r="22" spans="1:13" ht="15" customHeight="1">
      <c r="A22" s="398"/>
      <c r="B22" s="140"/>
      <c r="C22" s="414"/>
      <c r="D22" s="414"/>
      <c r="E22" s="133"/>
      <c r="F22" s="415"/>
      <c r="G22" s="415"/>
      <c r="H22" s="133"/>
      <c r="I22" s="133"/>
      <c r="J22" s="133"/>
      <c r="K22" s="133"/>
      <c r="L22" s="76"/>
      <c r="M22" s="398"/>
    </row>
    <row r="23" spans="1:13" ht="15" customHeight="1">
      <c r="A23" s="398"/>
      <c r="B23" s="140"/>
      <c r="C23" s="414"/>
      <c r="D23" s="414"/>
      <c r="E23" s="133"/>
      <c r="F23" s="415"/>
      <c r="G23" s="415"/>
      <c r="H23" s="133"/>
      <c r="I23" s="133"/>
      <c r="J23" s="133"/>
      <c r="K23" s="133"/>
      <c r="L23" s="76"/>
      <c r="M23" s="398"/>
    </row>
    <row r="24" spans="1:13" ht="15" customHeight="1">
      <c r="A24" s="398"/>
      <c r="B24" s="140"/>
      <c r="C24" s="414"/>
      <c r="D24" s="414"/>
      <c r="E24" s="133"/>
      <c r="F24" s="415"/>
      <c r="G24" s="415"/>
      <c r="H24" s="133"/>
      <c r="I24" s="133"/>
      <c r="J24" s="133"/>
      <c r="K24" s="133"/>
      <c r="L24" s="76"/>
      <c r="M24" s="398"/>
    </row>
    <row r="25" spans="1:13" ht="15" customHeight="1">
      <c r="A25" s="398"/>
      <c r="B25" s="416"/>
      <c r="C25" s="414"/>
      <c r="D25" s="414"/>
      <c r="E25" s="141"/>
      <c r="F25" s="141"/>
      <c r="G25" s="141"/>
      <c r="H25" s="141"/>
      <c r="I25" s="141"/>
      <c r="J25" s="141"/>
      <c r="K25" s="141"/>
      <c r="L25" s="142"/>
      <c r="M25" s="398"/>
    </row>
    <row r="26" spans="1:13" ht="15" customHeight="1">
      <c r="A26" s="398"/>
      <c r="B26" s="138"/>
      <c r="C26" s="133"/>
      <c r="D26" s="133"/>
      <c r="E26" s="133"/>
      <c r="F26" s="133"/>
      <c r="G26" s="133"/>
      <c r="H26" s="133"/>
      <c r="I26" s="133"/>
      <c r="J26" s="133"/>
      <c r="K26" s="133"/>
      <c r="L26" s="76"/>
      <c r="M26" s="398"/>
    </row>
    <row r="27" spans="1:13" ht="15" customHeight="1">
      <c r="A27" s="398"/>
      <c r="B27" s="138"/>
      <c r="C27" s="133"/>
      <c r="D27" s="133"/>
      <c r="E27" s="133"/>
      <c r="F27" s="133"/>
      <c r="G27" s="133"/>
      <c r="H27" s="133"/>
      <c r="I27" s="133"/>
      <c r="J27" s="133"/>
      <c r="K27" s="133"/>
      <c r="L27" s="76"/>
      <c r="M27" s="398"/>
    </row>
    <row r="28" spans="1:13" ht="15" customHeight="1">
      <c r="A28" s="398"/>
      <c r="B28" s="138"/>
      <c r="C28" s="133"/>
      <c r="D28" s="133"/>
      <c r="E28" s="133"/>
      <c r="F28" s="133"/>
      <c r="G28" s="133"/>
      <c r="H28" s="133"/>
      <c r="I28" s="133"/>
      <c r="J28" s="133"/>
      <c r="K28" s="133"/>
      <c r="L28" s="76"/>
      <c r="M28" s="398"/>
    </row>
    <row r="29" spans="1:13" ht="15" customHeight="1">
      <c r="A29" s="398"/>
      <c r="B29" s="138"/>
      <c r="C29" s="133"/>
      <c r="D29" s="133"/>
      <c r="E29" s="133"/>
      <c r="F29" s="133"/>
      <c r="G29" s="133"/>
      <c r="H29" s="133"/>
      <c r="I29" s="133"/>
      <c r="J29" s="133"/>
      <c r="K29" s="133"/>
      <c r="L29" s="76"/>
      <c r="M29" s="398"/>
    </row>
    <row r="30" spans="1:13" ht="15" customHeight="1">
      <c r="A30" s="398"/>
      <c r="B30" s="138"/>
      <c r="C30" s="133"/>
      <c r="D30" s="133"/>
      <c r="E30" s="133"/>
      <c r="F30" s="133"/>
      <c r="G30" s="133"/>
      <c r="H30" s="133"/>
      <c r="I30" s="133"/>
      <c r="J30" s="133"/>
      <c r="K30" s="133"/>
      <c r="L30" s="76"/>
      <c r="M30" s="398"/>
    </row>
    <row r="31" spans="1:13" ht="15" customHeight="1">
      <c r="A31" s="398"/>
      <c r="B31" s="138"/>
      <c r="C31" s="133"/>
      <c r="D31" s="133"/>
      <c r="E31" s="133"/>
      <c r="F31" s="133"/>
      <c r="G31" s="133"/>
      <c r="H31" s="133"/>
      <c r="I31" s="133"/>
      <c r="J31" s="133"/>
      <c r="K31" s="133"/>
      <c r="L31" s="76"/>
      <c r="M31" s="398"/>
    </row>
    <row r="32" spans="1:13" ht="15" customHeight="1">
      <c r="A32" s="398"/>
      <c r="B32" s="138"/>
      <c r="C32" s="133"/>
      <c r="D32" s="133"/>
      <c r="E32" s="133"/>
      <c r="F32" s="133"/>
      <c r="G32" s="133"/>
      <c r="H32" s="133"/>
      <c r="I32" s="133"/>
      <c r="J32" s="133"/>
      <c r="K32" s="133"/>
      <c r="L32" s="76"/>
      <c r="M32" s="398"/>
    </row>
    <row r="33" spans="1:13" ht="15" customHeight="1">
      <c r="A33" s="398"/>
      <c r="B33" s="417"/>
      <c r="C33" s="112"/>
      <c r="D33" s="112"/>
      <c r="E33" s="112"/>
      <c r="F33" s="112"/>
      <c r="G33" s="112"/>
      <c r="H33" s="112"/>
      <c r="I33" s="112"/>
      <c r="J33" s="112"/>
      <c r="K33" s="112"/>
      <c r="L33" s="418"/>
      <c r="M33" s="398"/>
    </row>
    <row r="34" spans="1:13" ht="15" customHeight="1">
      <c r="A34" s="398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398"/>
    </row>
    <row r="35" spans="2:12" ht="14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4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4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4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4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4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4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4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4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4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4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4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</sheetData>
  <sheetProtection/>
  <mergeCells count="6">
    <mergeCell ref="B1:M1"/>
    <mergeCell ref="B2:L2"/>
    <mergeCell ref="C4:E4"/>
    <mergeCell ref="F4:H4"/>
    <mergeCell ref="I4:J4"/>
    <mergeCell ref="K4:L4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.7109375" style="0" customWidth="1"/>
    <col min="2" max="2" width="126.421875" style="0" customWidth="1"/>
    <col min="3" max="3" width="2.7109375" style="0" customWidth="1"/>
    <col min="4" max="4" width="8.8515625" style="0" bestFit="1" customWidth="1"/>
  </cols>
  <sheetData>
    <row r="1" spans="1:3" ht="16.5" customHeight="1">
      <c r="A1" s="56"/>
      <c r="B1" s="278"/>
      <c r="C1" s="56"/>
    </row>
    <row r="2" spans="1:3" ht="13.5" customHeight="1">
      <c r="A2" s="58"/>
      <c r="B2" s="363"/>
      <c r="C2" s="57"/>
    </row>
    <row r="3" spans="1:3" ht="16.5" customHeight="1">
      <c r="A3" s="58"/>
      <c r="B3" s="366" t="s">
        <v>319</v>
      </c>
      <c r="C3" s="57"/>
    </row>
    <row r="4" spans="1:3" ht="16.5" customHeight="1">
      <c r="A4" s="58"/>
      <c r="B4" s="366" t="s">
        <v>309</v>
      </c>
      <c r="C4" s="57"/>
    </row>
    <row r="5" spans="1:3" ht="16.5" customHeight="1">
      <c r="A5" s="58"/>
      <c r="B5" s="366" t="s">
        <v>547</v>
      </c>
      <c r="C5" s="57"/>
    </row>
    <row r="6" spans="1:3" ht="16.5" customHeight="1">
      <c r="A6" s="58"/>
      <c r="B6" s="366"/>
      <c r="C6" s="57"/>
    </row>
    <row r="7" spans="1:3" ht="15" customHeight="1">
      <c r="A7" s="58"/>
      <c r="B7" s="366"/>
      <c r="C7" s="57"/>
    </row>
    <row r="8" spans="1:3" ht="16.5" customHeight="1">
      <c r="A8" s="58"/>
      <c r="B8" s="367" t="s">
        <v>503</v>
      </c>
      <c r="C8" s="57"/>
    </row>
    <row r="9" spans="1:3" ht="16.5" customHeight="1">
      <c r="A9" s="58"/>
      <c r="B9" s="367" t="s">
        <v>506</v>
      </c>
      <c r="C9" s="57"/>
    </row>
    <row r="10" spans="1:3" ht="16.5" customHeight="1">
      <c r="A10" s="58"/>
      <c r="B10" s="367" t="s">
        <v>507</v>
      </c>
      <c r="C10" s="57"/>
    </row>
    <row r="11" spans="1:3" ht="16.5" customHeight="1">
      <c r="A11" s="58"/>
      <c r="B11" s="367" t="s">
        <v>546</v>
      </c>
      <c r="C11" s="57"/>
    </row>
    <row r="12" spans="1:3" ht="15" customHeight="1">
      <c r="A12" s="58"/>
      <c r="B12" s="364"/>
      <c r="C12" s="57"/>
    </row>
    <row r="13" spans="1:3" ht="16.5" customHeight="1">
      <c r="A13" s="58"/>
      <c r="B13" s="367" t="s">
        <v>545</v>
      </c>
      <c r="C13" s="57"/>
    </row>
    <row r="14" spans="1:3" ht="16.5" customHeight="1">
      <c r="A14" s="58"/>
      <c r="B14" s="368" t="s">
        <v>542</v>
      </c>
      <c r="C14" s="57"/>
    </row>
    <row r="15" spans="1:3" ht="16.5" customHeight="1">
      <c r="A15" s="58"/>
      <c r="B15" s="1203" t="s">
        <v>543</v>
      </c>
      <c r="C15" s="57"/>
    </row>
    <row r="16" spans="1:3" ht="16.5" customHeight="1">
      <c r="A16" s="58"/>
      <c r="B16" s="1204" t="s">
        <v>544</v>
      </c>
      <c r="C16" s="57"/>
    </row>
    <row r="17" spans="1:3" ht="16.5" customHeight="1">
      <c r="A17" s="60"/>
      <c r="B17" s="1205"/>
      <c r="C17" s="57"/>
    </row>
    <row r="18" spans="1:3" ht="16.5" customHeight="1">
      <c r="A18" s="58"/>
      <c r="B18" s="779"/>
      <c r="C18" s="57"/>
    </row>
    <row r="19" spans="1:3" ht="16.5" customHeight="1">
      <c r="A19" s="58"/>
      <c r="B19" s="779"/>
      <c r="C19" s="57"/>
    </row>
    <row r="20" spans="1:3" ht="16.5" customHeight="1">
      <c r="A20" s="58"/>
      <c r="B20" s="779"/>
      <c r="C20" s="57"/>
    </row>
    <row r="21" spans="1:3" ht="16.5" customHeight="1">
      <c r="A21" s="58"/>
      <c r="B21" s="369" t="s">
        <v>431</v>
      </c>
      <c r="C21" s="57"/>
    </row>
    <row r="22" spans="1:3" ht="16.5" customHeight="1">
      <c r="A22" s="58"/>
      <c r="B22" s="369" t="s">
        <v>310</v>
      </c>
      <c r="C22" s="57"/>
    </row>
    <row r="23" spans="1:3" ht="16.5" customHeight="1">
      <c r="A23" s="58"/>
      <c r="B23" s="369" t="s">
        <v>311</v>
      </c>
      <c r="C23" s="57"/>
    </row>
    <row r="24" spans="1:3" ht="16.5" customHeight="1">
      <c r="A24" s="58"/>
      <c r="B24" s="369" t="s">
        <v>537</v>
      </c>
      <c r="C24" s="57"/>
    </row>
    <row r="25" spans="1:3" ht="16.5" customHeight="1">
      <c r="A25" s="58"/>
      <c r="B25" s="369" t="s">
        <v>312</v>
      </c>
      <c r="C25" s="57"/>
    </row>
    <row r="26" spans="1:3" ht="14.25" customHeight="1">
      <c r="A26" s="58"/>
      <c r="B26" s="370" t="s">
        <v>313</v>
      </c>
      <c r="C26" s="57"/>
    </row>
    <row r="27" spans="1:3" ht="16.5" customHeight="1">
      <c r="A27" s="58"/>
      <c r="B27" s="369" t="s">
        <v>314</v>
      </c>
      <c r="C27" s="58"/>
    </row>
    <row r="28" spans="1:3" ht="16.5" customHeight="1">
      <c r="A28" s="58"/>
      <c r="B28" s="369"/>
      <c r="C28" s="58"/>
    </row>
    <row r="29" spans="1:3" ht="9" customHeight="1">
      <c r="A29" s="58"/>
      <c r="B29" s="365"/>
      <c r="C29" s="58"/>
    </row>
    <row r="30" spans="1:4" ht="16.5" customHeight="1">
      <c r="A30" s="57"/>
      <c r="B30" s="57"/>
      <c r="C30" s="57"/>
      <c r="D30" s="51"/>
    </row>
    <row r="31" ht="15">
      <c r="D31" s="51"/>
    </row>
    <row r="32" ht="15">
      <c r="D32" s="51"/>
    </row>
    <row r="33" ht="15">
      <c r="D33" s="51"/>
    </row>
    <row r="34" ht="15">
      <c r="D34" s="51"/>
    </row>
  </sheetData>
  <sheetProtection/>
  <hyperlinks>
    <hyperlink ref="B26" r:id="rId1" display="http://www.agricultura.gov.br/vegetal/estatisticas"/>
    <hyperlink ref="B16" r:id="rId2" display="airton.camargo@agricultura.gov.br"/>
  </hyperlink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selection activeCell="Q32" sqref="Q32"/>
    </sheetView>
  </sheetViews>
  <sheetFormatPr defaultColWidth="11.421875" defaultRowHeight="12.75"/>
  <cols>
    <col min="1" max="1" width="2.7109375" style="2" customWidth="1"/>
    <col min="2" max="2" width="15.421875" style="2" customWidth="1"/>
    <col min="3" max="3" width="7.28125" style="2" bestFit="1" customWidth="1"/>
    <col min="4" max="4" width="9.7109375" style="2" customWidth="1"/>
    <col min="5" max="5" width="8.7109375" style="2" customWidth="1"/>
    <col min="6" max="6" width="10.7109375" style="2" customWidth="1"/>
    <col min="7" max="7" width="11.851562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1875" style="2" customWidth="1"/>
  </cols>
  <sheetData>
    <row r="1" spans="1:13" ht="15" customHeight="1">
      <c r="A1" s="1433" t="s">
        <v>416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</row>
    <row r="2" spans="1:13" ht="24" customHeight="1">
      <c r="A2" s="398"/>
      <c r="B2" s="1440" t="s">
        <v>325</v>
      </c>
      <c r="C2" s="1441"/>
      <c r="D2" s="1441"/>
      <c r="E2" s="1441"/>
      <c r="F2" s="1441"/>
      <c r="G2" s="1441"/>
      <c r="H2" s="1441"/>
      <c r="I2" s="1441"/>
      <c r="J2" s="1441"/>
      <c r="K2" s="1441"/>
      <c r="L2" s="1442"/>
      <c r="M2" s="398"/>
    </row>
    <row r="3" spans="1:13" ht="13.5" customHeight="1">
      <c r="A3" s="398"/>
      <c r="B3" s="401"/>
      <c r="C3" s="402"/>
      <c r="D3" s="402"/>
      <c r="E3" s="403"/>
      <c r="F3" s="403"/>
      <c r="G3" s="403"/>
      <c r="H3" s="403"/>
      <c r="I3" s="403"/>
      <c r="J3" s="403"/>
      <c r="K3" s="403"/>
      <c r="L3" s="404"/>
      <c r="M3" s="398"/>
    </row>
    <row r="4" spans="1:13" ht="12.75" customHeight="1">
      <c r="A4" s="398"/>
      <c r="B4" s="405" t="s">
        <v>118</v>
      </c>
      <c r="C4" s="1443">
        <v>2016</v>
      </c>
      <c r="D4" s="1444"/>
      <c r="E4" s="1445"/>
      <c r="F4" s="1443">
        <v>2015</v>
      </c>
      <c r="G4" s="1444"/>
      <c r="H4" s="1445"/>
      <c r="I4" s="1443" t="s">
        <v>448</v>
      </c>
      <c r="J4" s="1445"/>
      <c r="K4" s="1443" t="s">
        <v>449</v>
      </c>
      <c r="L4" s="1445"/>
      <c r="M4" s="398"/>
    </row>
    <row r="5" spans="1:13" ht="12.75" customHeight="1">
      <c r="A5" s="398"/>
      <c r="B5" s="406"/>
      <c r="C5" s="386" t="s">
        <v>119</v>
      </c>
      <c r="D5" s="387" t="s">
        <v>120</v>
      </c>
      <c r="E5" s="388" t="s">
        <v>11</v>
      </c>
      <c r="F5" s="386" t="s">
        <v>119</v>
      </c>
      <c r="G5" s="387" t="s">
        <v>120</v>
      </c>
      <c r="H5" s="388" t="s">
        <v>11</v>
      </c>
      <c r="I5" s="389" t="s">
        <v>119</v>
      </c>
      <c r="J5" s="390" t="s">
        <v>120</v>
      </c>
      <c r="K5" s="386" t="s">
        <v>119</v>
      </c>
      <c r="L5" s="407" t="s">
        <v>120</v>
      </c>
      <c r="M5" s="398"/>
    </row>
    <row r="6" spans="1:13" ht="12.75" customHeight="1">
      <c r="A6" s="398"/>
      <c r="B6" s="724" t="s">
        <v>121</v>
      </c>
      <c r="C6" s="725">
        <v>596.523</v>
      </c>
      <c r="D6" s="725">
        <v>2257.29</v>
      </c>
      <c r="E6" s="726">
        <f aca="true" t="shared" si="0" ref="E6:E13">(C6*1000)/D6</f>
        <v>264.2651143627979</v>
      </c>
      <c r="F6" s="725">
        <v>302</v>
      </c>
      <c r="G6" s="725">
        <v>912.3333333333334</v>
      </c>
      <c r="H6" s="726">
        <f>(F6*1000)/G6</f>
        <v>331.0193642674461</v>
      </c>
      <c r="I6" s="391">
        <f>C6+SUM(F13:F18)-F14</f>
        <v>4530.482999999999</v>
      </c>
      <c r="J6" s="391">
        <f>D6+SUM(G13:G18)-G14</f>
        <v>15770.198</v>
      </c>
      <c r="K6" s="391">
        <f>C6+SUM(F7:F18)-F14</f>
        <v>10373.483000000004</v>
      </c>
      <c r="L6" s="1201">
        <f>D6+SUM(G7:G18)-G14</f>
        <v>34651.698000000004</v>
      </c>
      <c r="M6" s="398"/>
    </row>
    <row r="7" spans="1:13" ht="12.75" customHeight="1">
      <c r="A7" s="398"/>
      <c r="B7" s="727" t="s">
        <v>122</v>
      </c>
      <c r="C7" s="725">
        <v>1116.13</v>
      </c>
      <c r="D7" s="725">
        <v>2282.38</v>
      </c>
      <c r="E7" s="728">
        <f t="shared" si="0"/>
        <v>489.0202332652757</v>
      </c>
      <c r="F7" s="725">
        <v>912</v>
      </c>
      <c r="G7" s="725">
        <v>2816.3333333333335</v>
      </c>
      <c r="H7" s="728">
        <f>(F7*1000)/G7</f>
        <v>323.82530476979525</v>
      </c>
      <c r="I7" s="391">
        <f>SUM(C6:C7)+SUM(F15:F18)</f>
        <v>4841.726000000001</v>
      </c>
      <c r="J7" s="391">
        <f>SUM(D6+D7)+SUM(G15:G18)</f>
        <v>15744.93</v>
      </c>
      <c r="K7" s="391">
        <f>SUM(C6+C7)+SUM(F8:F18)-F14</f>
        <v>10577.613000000001</v>
      </c>
      <c r="L7" s="409">
        <f>SUM(D6+D7)+SUM(G8:G18)-G14</f>
        <v>34117.744666666666</v>
      </c>
      <c r="M7" s="398"/>
    </row>
    <row r="8" spans="1:13" ht="12.75" customHeight="1">
      <c r="A8" s="398"/>
      <c r="B8" s="727" t="s">
        <v>123</v>
      </c>
      <c r="C8" s="725">
        <v>596.026</v>
      </c>
      <c r="D8" s="725">
        <v>3605.602</v>
      </c>
      <c r="E8" s="728">
        <f t="shared" si="0"/>
        <v>165.30554398405593</v>
      </c>
      <c r="F8" s="725">
        <v>1146</v>
      </c>
      <c r="G8" s="725">
        <v>3946.8333333333335</v>
      </c>
      <c r="H8" s="728">
        <f aca="true" t="shared" si="1" ref="H8:H17">(F8*1000)/G8</f>
        <v>290.3593598243317</v>
      </c>
      <c r="I8" s="1140">
        <f>SUM(C6:C8)+SUM(F16:F18)</f>
        <v>4622.552</v>
      </c>
      <c r="J8" s="391">
        <f>SUM(D6:D8)+SUM(G16:G18)</f>
        <v>16441.532</v>
      </c>
      <c r="K8" s="391">
        <f>SUM(C6:C8)+SUM(F9:F18)-F14</f>
        <v>10027.639</v>
      </c>
      <c r="L8" s="409">
        <f>SUM(D6:D8)+SUM(G9:G18)-G14</f>
        <v>33776.513333333336</v>
      </c>
      <c r="M8" s="398"/>
    </row>
    <row r="9" spans="1:13" ht="12.75" customHeight="1">
      <c r="A9" s="398"/>
      <c r="B9" s="727" t="s">
        <v>124</v>
      </c>
      <c r="C9" s="725">
        <v>976.714</v>
      </c>
      <c r="D9" s="725">
        <v>3097.96</v>
      </c>
      <c r="E9" s="728">
        <f t="shared" si="0"/>
        <v>315.2765045384705</v>
      </c>
      <c r="F9" s="725">
        <v>607</v>
      </c>
      <c r="G9" s="725">
        <v>1804.8333333333333</v>
      </c>
      <c r="H9" s="728">
        <f t="shared" si="1"/>
        <v>336.31914304183215</v>
      </c>
      <c r="I9" s="391">
        <f>SUM(C6:C9)+SUM(F17+F18)</f>
        <v>4595.393</v>
      </c>
      <c r="J9" s="391">
        <f>SUM(D6:D9)+SUM(G17:G18)</f>
        <v>15497.232</v>
      </c>
      <c r="K9" s="391">
        <f>SUM(C6:C9)+SUM(F10:F18)-F14</f>
        <v>10397.353</v>
      </c>
      <c r="L9" s="409">
        <f>SUM(D6:D9)+SUM(G10:G18)-G14</f>
        <v>35069.64</v>
      </c>
      <c r="M9" s="398"/>
    </row>
    <row r="10" spans="1:13" ht="12.75" customHeight="1">
      <c r="A10" s="398"/>
      <c r="B10" s="727" t="s">
        <v>125</v>
      </c>
      <c r="C10" s="725">
        <v>484.339</v>
      </c>
      <c r="D10" s="725">
        <v>1754.9</v>
      </c>
      <c r="E10" s="728">
        <f t="shared" si="0"/>
        <v>275.9923642372785</v>
      </c>
      <c r="F10" s="725">
        <v>795</v>
      </c>
      <c r="G10" s="725">
        <v>2419.6666666666665</v>
      </c>
      <c r="H10" s="728">
        <f t="shared" si="1"/>
        <v>328.55765256922444</v>
      </c>
      <c r="I10" s="391">
        <f>SUM(C6:C10)+F18</f>
        <v>4624.732</v>
      </c>
      <c r="J10" s="391">
        <f>SUM(D6:D10)+G18</f>
        <v>15623.132</v>
      </c>
      <c r="K10" s="391">
        <f>SUM(C6:C10)+SUM(F11:F18)-F14</f>
        <v>10086.692</v>
      </c>
      <c r="L10" s="409">
        <f>SUM(D6:D10)+SUM(G11:G18)-G14</f>
        <v>34404.87333333334</v>
      </c>
      <c r="M10" s="398"/>
    </row>
    <row r="11" spans="1:13" ht="12.75" customHeight="1">
      <c r="A11" s="398"/>
      <c r="B11" s="727" t="s">
        <v>126</v>
      </c>
      <c r="C11" s="725">
        <v>1149.929</v>
      </c>
      <c r="D11" s="725">
        <v>4406.345</v>
      </c>
      <c r="E11" s="728">
        <f t="shared" si="0"/>
        <v>260.9711677138308</v>
      </c>
      <c r="F11" s="725">
        <v>1280</v>
      </c>
      <c r="G11" s="725">
        <v>4184.833333333333</v>
      </c>
      <c r="H11" s="728">
        <f t="shared" si="1"/>
        <v>305.8664223983432</v>
      </c>
      <c r="I11" s="391">
        <f aca="true" t="shared" si="2" ref="I11:J13">SUM(C6:C11)</f>
        <v>4919.661</v>
      </c>
      <c r="J11" s="391">
        <f t="shared" si="2"/>
        <v>17404.477</v>
      </c>
      <c r="K11" s="391">
        <f>SUM(C6:C11)+SUM(F12+F13)+SUM(F15:F18)</f>
        <v>9956.621</v>
      </c>
      <c r="L11" s="409">
        <f>SUM(D6:D11)+SUM(G12:G18)-G14</f>
        <v>34626.384999999995</v>
      </c>
      <c r="M11" s="398"/>
    </row>
    <row r="12" spans="1:13" ht="12.75" customHeight="1">
      <c r="A12" s="398"/>
      <c r="B12" s="727" t="s">
        <v>128</v>
      </c>
      <c r="C12" s="730">
        <v>878.569</v>
      </c>
      <c r="D12" s="730">
        <v>2934.62716666666</v>
      </c>
      <c r="E12" s="728">
        <f t="shared" si="0"/>
        <v>299.3801086486689</v>
      </c>
      <c r="F12" s="730">
        <v>1103</v>
      </c>
      <c r="G12" s="730">
        <v>3709</v>
      </c>
      <c r="H12" s="543">
        <f t="shared" si="1"/>
        <v>297.3847398220545</v>
      </c>
      <c r="I12" s="394">
        <f t="shared" si="2"/>
        <v>5201.707</v>
      </c>
      <c r="J12" s="392">
        <f t="shared" si="2"/>
        <v>18081.814166666656</v>
      </c>
      <c r="K12" s="392">
        <f>SUM(C6:C12)+F13+SUM(F15:F18)</f>
        <v>9732.189999999999</v>
      </c>
      <c r="L12" s="410">
        <f>SUM(D6:D12)+SUM(G13:G18)-G14</f>
        <v>33852.01216666665</v>
      </c>
      <c r="M12" s="398"/>
    </row>
    <row r="13" spans="1:13" ht="12.75" customHeight="1">
      <c r="A13" s="398"/>
      <c r="B13" s="727" t="s">
        <v>129</v>
      </c>
      <c r="C13" s="725">
        <v>1004.448</v>
      </c>
      <c r="D13" s="725">
        <v>3566.3745</v>
      </c>
      <c r="E13" s="728">
        <f t="shared" si="0"/>
        <v>281.6440056982238</v>
      </c>
      <c r="F13" s="725">
        <v>804.887</v>
      </c>
      <c r="G13" s="725">
        <v>2307.648</v>
      </c>
      <c r="H13" s="728">
        <f t="shared" si="1"/>
        <v>348.791063455085</v>
      </c>
      <c r="I13" s="394">
        <f t="shared" si="2"/>
        <v>5090.025000000001</v>
      </c>
      <c r="J13" s="392">
        <f t="shared" si="2"/>
        <v>19365.80866666666</v>
      </c>
      <c r="K13" s="392">
        <f>SUM(C6:C13)+SUM(F15:F18)</f>
        <v>9931.751</v>
      </c>
      <c r="L13" s="410">
        <f>SUM(D6:D13)+SUM(G15:G18)</f>
        <v>35110.73866666666</v>
      </c>
      <c r="M13" s="398"/>
    </row>
    <row r="14" spans="1:15" ht="12.75" customHeight="1">
      <c r="A14" s="398"/>
      <c r="B14" s="733" t="s">
        <v>467</v>
      </c>
      <c r="C14" s="826">
        <f>SUM(C6:C13)</f>
        <v>6802.678</v>
      </c>
      <c r="D14" s="826">
        <f>SUM(D6:D13)</f>
        <v>23905.478666666655</v>
      </c>
      <c r="E14" s="396">
        <f>(C14*1000)/D14</f>
        <v>284.56564684837394</v>
      </c>
      <c r="F14" s="826">
        <f>SUM(F6:F13)</f>
        <v>6949.887</v>
      </c>
      <c r="G14" s="826">
        <f>SUM(G6:G13)</f>
        <v>22101.481333333333</v>
      </c>
      <c r="H14" s="396">
        <f>(F14*1000)/G14</f>
        <v>314.45344749440926</v>
      </c>
      <c r="I14" s="391"/>
      <c r="J14" s="391"/>
      <c r="K14" s="391"/>
      <c r="L14" s="409"/>
      <c r="M14" s="398"/>
      <c r="O14" s="1153"/>
    </row>
    <row r="15" spans="1:13" ht="12.75" customHeight="1">
      <c r="A15" s="398"/>
      <c r="B15" s="727" t="s">
        <v>130</v>
      </c>
      <c r="C15" s="725"/>
      <c r="D15" s="725"/>
      <c r="E15" s="728"/>
      <c r="F15" s="725">
        <v>815.2</v>
      </c>
      <c r="G15" s="725">
        <v>2909</v>
      </c>
      <c r="H15" s="728">
        <f t="shared" si="1"/>
        <v>280.2337573049158</v>
      </c>
      <c r="I15" s="391"/>
      <c r="J15" s="391"/>
      <c r="K15" s="391"/>
      <c r="L15" s="409"/>
      <c r="M15" s="398"/>
    </row>
    <row r="16" spans="1:13" ht="12.75" customHeight="1">
      <c r="A16" s="398"/>
      <c r="B16" s="727" t="s">
        <v>131</v>
      </c>
      <c r="C16" s="725"/>
      <c r="D16" s="725"/>
      <c r="E16" s="728"/>
      <c r="F16" s="725">
        <v>1003.873</v>
      </c>
      <c r="G16" s="725">
        <v>4042.26</v>
      </c>
      <c r="H16" s="728">
        <f t="shared" si="1"/>
        <v>248.34449045830797</v>
      </c>
      <c r="I16" s="391"/>
      <c r="J16" s="391"/>
      <c r="K16" s="391"/>
      <c r="L16" s="409"/>
      <c r="M16" s="399"/>
    </row>
    <row r="17" spans="1:13" ht="12.75" customHeight="1">
      <c r="A17" s="398"/>
      <c r="B17" s="727" t="s">
        <v>132</v>
      </c>
      <c r="C17" s="725"/>
      <c r="D17" s="725"/>
      <c r="E17" s="728"/>
      <c r="F17" s="725">
        <v>455</v>
      </c>
      <c r="G17" s="725">
        <v>1629</v>
      </c>
      <c r="H17" s="728">
        <f t="shared" si="1"/>
        <v>279.31246163290365</v>
      </c>
      <c r="I17" s="391"/>
      <c r="J17" s="391"/>
      <c r="K17" s="391"/>
      <c r="L17" s="409"/>
      <c r="M17" s="398"/>
    </row>
    <row r="18" spans="1:13" ht="12.75" customHeight="1">
      <c r="A18" s="398"/>
      <c r="B18" s="727" t="s">
        <v>133</v>
      </c>
      <c r="C18" s="731"/>
      <c r="D18" s="732"/>
      <c r="E18" s="735"/>
      <c r="F18" s="731">
        <v>855</v>
      </c>
      <c r="G18" s="732">
        <v>2625</v>
      </c>
      <c r="H18" s="735">
        <f>(F18*1000)/G18</f>
        <v>325.7142857142857</v>
      </c>
      <c r="I18" s="394"/>
      <c r="J18" s="392"/>
      <c r="K18" s="392"/>
      <c r="L18" s="410"/>
      <c r="M18" s="398"/>
    </row>
    <row r="19" spans="1:13" ht="12.75" customHeight="1">
      <c r="A19" s="398"/>
      <c r="B19" s="733" t="s">
        <v>115</v>
      </c>
      <c r="C19" s="731">
        <f>SUM(C6:C18)-C14</f>
        <v>6802.678</v>
      </c>
      <c r="D19" s="750">
        <f>SUM(D6:D18)-D14</f>
        <v>23905.478666666655</v>
      </c>
      <c r="E19" s="735">
        <f>(C19*1000)/D19</f>
        <v>284.56564684837394</v>
      </c>
      <c r="F19" s="732">
        <f>SUM(F6:F18)-F14</f>
        <v>10078.960000000003</v>
      </c>
      <c r="G19" s="732">
        <f>SUM(G6:G18)-G14</f>
        <v>33306.74133333334</v>
      </c>
      <c r="H19" s="735">
        <f>(F19*1000)/G19</f>
        <v>302.610210321386</v>
      </c>
      <c r="I19" s="497"/>
      <c r="J19" s="497"/>
      <c r="K19" s="497"/>
      <c r="L19" s="552"/>
      <c r="M19" s="398"/>
    </row>
    <row r="20" spans="1:13" ht="12" customHeight="1">
      <c r="A20" s="398"/>
      <c r="B20" s="413" t="s">
        <v>116</v>
      </c>
      <c r="C20" s="414"/>
      <c r="D20" s="414"/>
      <c r="E20" s="397" t="s">
        <v>144</v>
      </c>
      <c r="F20" s="489"/>
      <c r="G20" s="415"/>
      <c r="H20" s="133"/>
      <c r="I20" s="133"/>
      <c r="J20" s="397" t="s">
        <v>135</v>
      </c>
      <c r="K20" s="133"/>
      <c r="L20" s="76"/>
      <c r="M20" s="398"/>
    </row>
    <row r="21" spans="1:13" ht="12" customHeight="1">
      <c r="A21" s="398"/>
      <c r="B21" s="413" t="s">
        <v>320</v>
      </c>
      <c r="C21" s="414"/>
      <c r="D21" s="414"/>
      <c r="E21" s="397" t="s">
        <v>134</v>
      </c>
      <c r="F21" s="489"/>
      <c r="G21" s="415"/>
      <c r="H21" s="133"/>
      <c r="I21" s="133"/>
      <c r="J21" s="397" t="s">
        <v>136</v>
      </c>
      <c r="K21" s="133"/>
      <c r="L21" s="76"/>
      <c r="M21" s="398"/>
    </row>
    <row r="22" spans="1:13" ht="15" customHeight="1">
      <c r="A22" s="398"/>
      <c r="B22" s="140"/>
      <c r="C22" s="414"/>
      <c r="D22" s="414"/>
      <c r="E22" s="133"/>
      <c r="F22" s="415"/>
      <c r="G22" s="415"/>
      <c r="H22" s="133"/>
      <c r="I22" s="133"/>
      <c r="J22" s="133"/>
      <c r="K22" s="133"/>
      <c r="L22" s="76"/>
      <c r="M22" s="398"/>
    </row>
    <row r="23" spans="1:13" ht="15" customHeight="1">
      <c r="A23" s="398"/>
      <c r="B23" s="140"/>
      <c r="C23" s="414"/>
      <c r="D23" s="414"/>
      <c r="E23" s="133"/>
      <c r="F23" s="415"/>
      <c r="G23" s="415"/>
      <c r="H23" s="133"/>
      <c r="I23" s="133"/>
      <c r="J23" s="133"/>
      <c r="K23" s="133"/>
      <c r="L23" s="76"/>
      <c r="M23" s="398"/>
    </row>
    <row r="24" spans="1:13" ht="15" customHeight="1">
      <c r="A24" s="398"/>
      <c r="B24" s="140"/>
      <c r="C24" s="414"/>
      <c r="D24" s="414"/>
      <c r="E24" s="133"/>
      <c r="F24" s="415"/>
      <c r="G24" s="415"/>
      <c r="H24" s="133"/>
      <c r="I24" s="133"/>
      <c r="J24" s="133"/>
      <c r="K24" s="133"/>
      <c r="L24" s="76"/>
      <c r="M24" s="398"/>
    </row>
    <row r="25" spans="1:13" ht="15" customHeight="1">
      <c r="A25" s="398"/>
      <c r="B25" s="140"/>
      <c r="C25" s="414"/>
      <c r="D25" s="414"/>
      <c r="E25" s="133"/>
      <c r="F25" s="415"/>
      <c r="G25" s="415"/>
      <c r="H25" s="133"/>
      <c r="I25" s="133"/>
      <c r="J25" s="133"/>
      <c r="K25" s="133"/>
      <c r="L25" s="76"/>
      <c r="M25" s="398"/>
    </row>
    <row r="26" spans="1:13" ht="15" customHeight="1">
      <c r="A26" s="398"/>
      <c r="B26" s="138"/>
      <c r="C26" s="133"/>
      <c r="D26" s="133"/>
      <c r="E26" s="133"/>
      <c r="F26" s="133"/>
      <c r="G26" s="133"/>
      <c r="H26" s="133"/>
      <c r="I26" s="133"/>
      <c r="J26" s="133"/>
      <c r="K26" s="133"/>
      <c r="L26" s="76"/>
      <c r="M26" s="398"/>
    </row>
    <row r="27" spans="1:13" ht="15" customHeight="1">
      <c r="A27" s="398"/>
      <c r="B27" s="138"/>
      <c r="C27" s="133"/>
      <c r="D27" s="133"/>
      <c r="E27" s="133"/>
      <c r="F27" s="133"/>
      <c r="G27" s="133"/>
      <c r="H27" s="133"/>
      <c r="I27" s="133"/>
      <c r="J27" s="133"/>
      <c r="K27" s="133"/>
      <c r="L27" s="76"/>
      <c r="M27" s="398"/>
    </row>
    <row r="28" spans="1:13" ht="15" customHeight="1">
      <c r="A28" s="398"/>
      <c r="B28" s="138"/>
      <c r="C28" s="133"/>
      <c r="D28" s="133"/>
      <c r="E28" s="133"/>
      <c r="F28" s="133"/>
      <c r="G28" s="133"/>
      <c r="H28" s="133"/>
      <c r="I28" s="133"/>
      <c r="J28" s="133"/>
      <c r="K28" s="133"/>
      <c r="L28" s="76"/>
      <c r="M28" s="398"/>
    </row>
    <row r="29" spans="1:13" ht="15" customHeight="1">
      <c r="A29" s="398"/>
      <c r="B29" s="138"/>
      <c r="C29" s="133"/>
      <c r="D29" s="133"/>
      <c r="E29" s="133"/>
      <c r="F29" s="133"/>
      <c r="G29" s="133"/>
      <c r="H29" s="133"/>
      <c r="I29" s="133"/>
      <c r="J29" s="133"/>
      <c r="K29" s="133"/>
      <c r="L29" s="76"/>
      <c r="M29" s="398"/>
    </row>
    <row r="30" spans="1:13" ht="15" customHeight="1">
      <c r="A30" s="398"/>
      <c r="B30" s="138"/>
      <c r="C30" s="133"/>
      <c r="D30" s="133"/>
      <c r="E30" s="133"/>
      <c r="F30" s="133"/>
      <c r="G30" s="133"/>
      <c r="H30" s="133"/>
      <c r="I30" s="133"/>
      <c r="J30" s="133"/>
      <c r="K30" s="133"/>
      <c r="L30" s="76"/>
      <c r="M30" s="398"/>
    </row>
    <row r="31" spans="1:13" ht="15" customHeight="1">
      <c r="A31" s="398"/>
      <c r="B31" s="138"/>
      <c r="C31" s="133"/>
      <c r="D31" s="133"/>
      <c r="E31" s="133"/>
      <c r="F31" s="133"/>
      <c r="G31" s="133"/>
      <c r="H31" s="133"/>
      <c r="I31" s="133"/>
      <c r="J31" s="133"/>
      <c r="K31" s="133"/>
      <c r="L31" s="76"/>
      <c r="M31" s="398"/>
    </row>
    <row r="32" spans="1:13" ht="15" customHeight="1">
      <c r="A32" s="398"/>
      <c r="B32" s="138"/>
      <c r="C32" s="133"/>
      <c r="D32" s="133"/>
      <c r="E32" s="133"/>
      <c r="F32" s="133"/>
      <c r="G32" s="133"/>
      <c r="H32" s="133"/>
      <c r="I32" s="133"/>
      <c r="J32" s="133"/>
      <c r="K32" s="133"/>
      <c r="L32" s="76"/>
      <c r="M32" s="398"/>
    </row>
    <row r="33" spans="1:13" ht="15" customHeight="1">
      <c r="A33" s="398"/>
      <c r="B33" s="417"/>
      <c r="C33" s="112"/>
      <c r="D33" s="112"/>
      <c r="E33" s="112"/>
      <c r="F33" s="112"/>
      <c r="G33" s="112"/>
      <c r="H33" s="112"/>
      <c r="I33" s="112"/>
      <c r="J33" s="112"/>
      <c r="K33" s="112"/>
      <c r="L33" s="418"/>
      <c r="M33" s="398"/>
    </row>
    <row r="34" spans="1:13" ht="15" customHeight="1">
      <c r="A34" s="398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398"/>
    </row>
    <row r="35" spans="2:12" ht="14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4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4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4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4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4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4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4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4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4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4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4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</sheetData>
  <sheetProtection/>
  <mergeCells count="6">
    <mergeCell ref="A1:M1"/>
    <mergeCell ref="B2:L2"/>
    <mergeCell ref="C4:E4"/>
    <mergeCell ref="F4:H4"/>
    <mergeCell ref="I4:J4"/>
    <mergeCell ref="K4:L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P30" sqref="P30"/>
    </sheetView>
  </sheetViews>
  <sheetFormatPr defaultColWidth="11.421875" defaultRowHeight="12.75"/>
  <cols>
    <col min="1" max="1" width="2.7109375" style="2" customWidth="1"/>
    <col min="2" max="2" width="15.421875" style="2" customWidth="1"/>
    <col min="3" max="3" width="11.28125" style="2" bestFit="1" customWidth="1"/>
    <col min="4" max="4" width="12.28125" style="2" bestFit="1" customWidth="1"/>
    <col min="5" max="5" width="8.7109375" style="2" customWidth="1"/>
    <col min="6" max="6" width="10.7109375" style="2" customWidth="1"/>
    <col min="7" max="7" width="11.851562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1875" style="2" customWidth="1"/>
  </cols>
  <sheetData>
    <row r="1" spans="1:13" ht="15" customHeight="1">
      <c r="A1" s="1433" t="s">
        <v>417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</row>
    <row r="2" spans="1:13" ht="27" customHeight="1">
      <c r="A2" s="398"/>
      <c r="B2" s="1440" t="s">
        <v>326</v>
      </c>
      <c r="C2" s="1441"/>
      <c r="D2" s="1441"/>
      <c r="E2" s="1441"/>
      <c r="F2" s="1441"/>
      <c r="G2" s="1441"/>
      <c r="H2" s="1441"/>
      <c r="I2" s="1441"/>
      <c r="J2" s="1441"/>
      <c r="K2" s="1441"/>
      <c r="L2" s="1442"/>
      <c r="M2" s="398"/>
    </row>
    <row r="3" spans="1:13" ht="13.5" customHeight="1">
      <c r="A3" s="398"/>
      <c r="B3" s="401"/>
      <c r="C3" s="402"/>
      <c r="D3" s="402"/>
      <c r="E3" s="403"/>
      <c r="F3" s="403"/>
      <c r="G3" s="403"/>
      <c r="H3" s="403"/>
      <c r="I3" s="403"/>
      <c r="J3" s="403"/>
      <c r="K3" s="403"/>
      <c r="L3" s="404"/>
      <c r="M3" s="398"/>
    </row>
    <row r="4" spans="1:13" ht="12.75" customHeight="1">
      <c r="A4" s="398"/>
      <c r="B4" s="405" t="s">
        <v>118</v>
      </c>
      <c r="C4" s="1443">
        <v>2016</v>
      </c>
      <c r="D4" s="1444"/>
      <c r="E4" s="1445"/>
      <c r="F4" s="1443">
        <v>2015</v>
      </c>
      <c r="G4" s="1444"/>
      <c r="H4" s="1445"/>
      <c r="I4" s="1443" t="s">
        <v>448</v>
      </c>
      <c r="J4" s="1445"/>
      <c r="K4" s="1443" t="s">
        <v>449</v>
      </c>
      <c r="L4" s="1445"/>
      <c r="M4" s="398"/>
    </row>
    <row r="5" spans="1:13" ht="12.75" customHeight="1">
      <c r="A5" s="398"/>
      <c r="B5" s="406"/>
      <c r="C5" s="386" t="s">
        <v>119</v>
      </c>
      <c r="D5" s="387" t="s">
        <v>120</v>
      </c>
      <c r="E5" s="827" t="s">
        <v>11</v>
      </c>
      <c r="F5" s="386" t="s">
        <v>119</v>
      </c>
      <c r="G5" s="387" t="s">
        <v>120</v>
      </c>
      <c r="H5" s="388" t="s">
        <v>11</v>
      </c>
      <c r="I5" s="389" t="s">
        <v>119</v>
      </c>
      <c r="J5" s="390" t="s">
        <v>120</v>
      </c>
      <c r="K5" s="386" t="s">
        <v>119</v>
      </c>
      <c r="L5" s="407" t="s">
        <v>120</v>
      </c>
      <c r="M5" s="398"/>
    </row>
    <row r="6" spans="1:13" ht="12.75" customHeight="1">
      <c r="A6" s="398"/>
      <c r="B6" s="724" t="s">
        <v>121</v>
      </c>
      <c r="C6" s="725">
        <v>1704.243</v>
      </c>
      <c r="D6" s="725">
        <v>17190.07</v>
      </c>
      <c r="E6" s="726">
        <f aca="true" t="shared" si="0" ref="E6:E13">(C6*1000)/D6</f>
        <v>99.14113206054425</v>
      </c>
      <c r="F6" s="725">
        <v>2615</v>
      </c>
      <c r="G6" s="725">
        <v>25696.666666666668</v>
      </c>
      <c r="H6" s="726">
        <f>(F6*1000)/G6</f>
        <v>101.76417174730834</v>
      </c>
      <c r="I6" s="391">
        <f>C6+SUM(F13:F18)-F14</f>
        <v>12681.019000000004</v>
      </c>
      <c r="J6" s="391">
        <f>D6+SUM(G13:G18)-G14</f>
        <v>110919.46999999997</v>
      </c>
      <c r="K6" s="391">
        <f>C6+SUM(F7:F18)-F14</f>
        <v>35843.019</v>
      </c>
      <c r="L6" s="1201">
        <f>D6+SUM(G7:G18)-G14</f>
        <v>274416.13666666666</v>
      </c>
      <c r="M6" s="792"/>
    </row>
    <row r="7" spans="1:13" ht="12.75" customHeight="1">
      <c r="A7" s="398"/>
      <c r="B7" s="727" t="s">
        <v>122</v>
      </c>
      <c r="C7" s="725">
        <v>2375.075</v>
      </c>
      <c r="D7" s="725">
        <v>20005.36</v>
      </c>
      <c r="E7" s="728">
        <f t="shared" si="0"/>
        <v>118.72193252208407</v>
      </c>
      <c r="F7" s="725">
        <v>3503</v>
      </c>
      <c r="G7" s="725">
        <v>24613.333333333332</v>
      </c>
      <c r="H7" s="728">
        <f>(F7*1000)/G7</f>
        <v>142.32123510292524</v>
      </c>
      <c r="I7" s="391">
        <f>SUM(C6:C7)+SUM(F15:F18)</f>
        <v>13003.217999999999</v>
      </c>
      <c r="J7" s="391">
        <f>SUM(D6+D7)+SUM(G15:G18)</f>
        <v>114420.82999999999</v>
      </c>
      <c r="K7" s="391">
        <f>SUM(C6+C7)+SUM(F8:F18)-F14</f>
        <v>34715.094</v>
      </c>
      <c r="L7" s="409">
        <f>SUM(D6+D7)+SUM(G8:G18)-G14</f>
        <v>269808.1633333333</v>
      </c>
      <c r="M7" s="398"/>
    </row>
    <row r="8" spans="1:13" ht="12.75" customHeight="1">
      <c r="A8" s="398"/>
      <c r="B8" s="727" t="s">
        <v>123</v>
      </c>
      <c r="C8" s="725">
        <v>2992.078</v>
      </c>
      <c r="D8" s="725">
        <v>22923.373</v>
      </c>
      <c r="E8" s="728">
        <f t="shared" si="0"/>
        <v>130.52520673986328</v>
      </c>
      <c r="F8" s="725">
        <v>3664</v>
      </c>
      <c r="G8" s="725">
        <v>21926.666666666668</v>
      </c>
      <c r="H8" s="728">
        <f aca="true" t="shared" si="1" ref="H8:H17">(F8*1000)/G8</f>
        <v>167.10246275463666</v>
      </c>
      <c r="I8" s="1140">
        <f>SUM(C6:C8)+SUM(F16:F18)</f>
        <v>14343.295999999998</v>
      </c>
      <c r="J8" s="391">
        <f>SUM(D6:D8)+SUM(G16:G18)</f>
        <v>123208.343</v>
      </c>
      <c r="K8" s="391">
        <f>SUM(C6:C8)+SUM(F9:F18)-F14</f>
        <v>34043.172000000006</v>
      </c>
      <c r="L8" s="409">
        <f>SUM(D6:D8)+SUM(G9:G18)-G14</f>
        <v>270804.86966666667</v>
      </c>
      <c r="M8" s="398"/>
    </row>
    <row r="9" spans="1:13" ht="12.75" customHeight="1">
      <c r="A9" s="398"/>
      <c r="B9" s="727" t="s">
        <v>124</v>
      </c>
      <c r="C9" s="725">
        <v>4727.608</v>
      </c>
      <c r="D9" s="725">
        <v>41200.92</v>
      </c>
      <c r="E9" s="728">
        <f t="shared" si="0"/>
        <v>114.74520471872958</v>
      </c>
      <c r="F9" s="725">
        <v>4108</v>
      </c>
      <c r="G9" s="725">
        <v>26433.333333333332</v>
      </c>
      <c r="H9" s="728">
        <f t="shared" si="1"/>
        <v>155.40983606557378</v>
      </c>
      <c r="I9" s="391">
        <f>SUM(C6:C9)+SUM(F17+F18)</f>
        <v>16362.004</v>
      </c>
      <c r="J9" s="391">
        <f>SUM(D6:D9)+SUM(G17:G18)</f>
        <v>139886.723</v>
      </c>
      <c r="K9" s="391">
        <f>SUM(C6:C9)+SUM(F10:F18)-F14</f>
        <v>34662.78</v>
      </c>
      <c r="L9" s="409">
        <f>SUM(D6:D9)+SUM(G10:G18)-G14</f>
        <v>285572.4563333333</v>
      </c>
      <c r="M9" s="398"/>
    </row>
    <row r="10" spans="1:13" ht="12.75" customHeight="1">
      <c r="A10" s="398"/>
      <c r="B10" s="727" t="s">
        <v>125</v>
      </c>
      <c r="C10" s="725">
        <v>5498.431</v>
      </c>
      <c r="D10" s="725">
        <v>40746.747</v>
      </c>
      <c r="E10" s="728">
        <f t="shared" si="0"/>
        <v>134.94159423327707</v>
      </c>
      <c r="F10" s="725">
        <v>4077</v>
      </c>
      <c r="G10" s="725">
        <v>28123.333333333332</v>
      </c>
      <c r="H10" s="728">
        <f t="shared" si="1"/>
        <v>144.9685907313026</v>
      </c>
      <c r="I10" s="391">
        <f>SUM(C6:C10)+F18</f>
        <v>19772.435</v>
      </c>
      <c r="J10" s="391">
        <f>SUM(D6:D10)+G18</f>
        <v>162606.47</v>
      </c>
      <c r="K10" s="391">
        <f>SUM(C6:C10)+SUM(F11:F18)-F14</f>
        <v>36084.210999999996</v>
      </c>
      <c r="L10" s="409">
        <f>SUM(D6:D10)+SUM(G11:G18)-G14</f>
        <v>298195.86999999994</v>
      </c>
      <c r="M10" s="398"/>
    </row>
    <row r="11" spans="1:13" ht="12.75" customHeight="1">
      <c r="A11" s="398"/>
      <c r="B11" s="727" t="s">
        <v>126</v>
      </c>
      <c r="C11" s="725">
        <v>4304.277</v>
      </c>
      <c r="D11" s="725">
        <v>38334.87</v>
      </c>
      <c r="E11" s="728">
        <f t="shared" si="0"/>
        <v>112.28098595351959</v>
      </c>
      <c r="F11" s="725">
        <v>4392</v>
      </c>
      <c r="G11" s="725">
        <v>32890</v>
      </c>
      <c r="H11" s="728">
        <f t="shared" si="1"/>
        <v>133.5360291882031</v>
      </c>
      <c r="I11" s="391">
        <f aca="true" t="shared" si="2" ref="I11:J13">SUM(C6:C11)</f>
        <v>21601.712</v>
      </c>
      <c r="J11" s="391">
        <f t="shared" si="2"/>
        <v>180401.34</v>
      </c>
      <c r="K11" s="391">
        <f>SUM(C6:C11)+SUM(F12+F13)+SUM(F15:F18)</f>
        <v>35996.488</v>
      </c>
      <c r="L11" s="409">
        <f>SUM(D6:D11)+SUM(G12:G18)-G14</f>
        <v>303640.73999999993</v>
      </c>
      <c r="M11" s="398"/>
    </row>
    <row r="12" spans="1:13" ht="12.75" customHeight="1">
      <c r="A12" s="398"/>
      <c r="B12" s="727" t="s">
        <v>128</v>
      </c>
      <c r="C12" s="725">
        <v>3420.341</v>
      </c>
      <c r="D12" s="725">
        <v>29733.99</v>
      </c>
      <c r="E12" s="728">
        <f t="shared" si="0"/>
        <v>115.03134964395966</v>
      </c>
      <c r="F12" s="725">
        <v>3418</v>
      </c>
      <c r="G12" s="725">
        <v>29510</v>
      </c>
      <c r="H12" s="728">
        <f>(F12*1000)/G12</f>
        <v>115.82514401897662</v>
      </c>
      <c r="I12" s="394">
        <f t="shared" si="2"/>
        <v>23317.809999999998</v>
      </c>
      <c r="J12" s="392">
        <f t="shared" si="2"/>
        <v>192945.25999999998</v>
      </c>
      <c r="K12" s="392">
        <f>SUM(C6:C12)+F13+SUM(F15:F18)</f>
        <v>35998.829</v>
      </c>
      <c r="L12" s="410">
        <f>SUM(D6:D12)+SUM(G13:G18)-G14</f>
        <v>303864.7299999999</v>
      </c>
      <c r="M12" s="398"/>
    </row>
    <row r="13" spans="1:13" ht="12.75" customHeight="1">
      <c r="A13" s="398"/>
      <c r="B13" s="727" t="s">
        <v>129</v>
      </c>
      <c r="C13" s="725">
        <v>3370.387</v>
      </c>
      <c r="D13" s="725">
        <v>26274.77</v>
      </c>
      <c r="E13" s="728">
        <f t="shared" si="0"/>
        <v>128.2746528323559</v>
      </c>
      <c r="F13" s="725">
        <v>2052.876</v>
      </c>
      <c r="G13" s="725">
        <v>16504</v>
      </c>
      <c r="H13" s="728">
        <f t="shared" si="1"/>
        <v>124.38657295201165</v>
      </c>
      <c r="I13" s="394">
        <f t="shared" si="2"/>
        <v>24313.122</v>
      </c>
      <c r="J13" s="392">
        <f t="shared" si="2"/>
        <v>199214.66999999998</v>
      </c>
      <c r="K13" s="392">
        <f>SUM(C6:C13)+SUM(F15:F18)</f>
        <v>37316.34</v>
      </c>
      <c r="L13" s="410">
        <f>SUM(D6:D13)+SUM(G15:G18)</f>
        <v>313635.5</v>
      </c>
      <c r="M13" s="398"/>
    </row>
    <row r="14" spans="1:13" ht="12.75" customHeight="1">
      <c r="A14" s="398"/>
      <c r="B14" s="733" t="s">
        <v>467</v>
      </c>
      <c r="C14" s="826">
        <f>SUM(C6:C13)</f>
        <v>28392.44</v>
      </c>
      <c r="D14" s="826">
        <f>SUM(D6:D13)</f>
        <v>236410.09999999998</v>
      </c>
      <c r="E14" s="396">
        <f>(C14*1000)/D14</f>
        <v>120.09825299342118</v>
      </c>
      <c r="F14" s="826">
        <f>SUM(F6:F13)</f>
        <v>27829.876</v>
      </c>
      <c r="G14" s="826">
        <f>SUM(G6:G13)</f>
        <v>205697.3333333333</v>
      </c>
      <c r="H14" s="396">
        <f>(F14*1000)/G14</f>
        <v>135.29526877677884</v>
      </c>
      <c r="I14" s="391"/>
      <c r="J14" s="391"/>
      <c r="K14" s="391"/>
      <c r="L14" s="409"/>
      <c r="M14" s="398"/>
    </row>
    <row r="15" spans="1:13" ht="12.75" customHeight="1">
      <c r="A15" s="398"/>
      <c r="B15" s="727" t="s">
        <v>130</v>
      </c>
      <c r="C15" s="725"/>
      <c r="D15" s="725"/>
      <c r="E15" s="728"/>
      <c r="F15" s="725">
        <v>1652</v>
      </c>
      <c r="G15" s="725">
        <v>14135.86</v>
      </c>
      <c r="H15" s="728">
        <f t="shared" si="1"/>
        <v>116.8658999169488</v>
      </c>
      <c r="I15" s="391"/>
      <c r="J15" s="391"/>
      <c r="K15" s="391"/>
      <c r="L15" s="409"/>
      <c r="M15" s="398"/>
    </row>
    <row r="16" spans="1:13" ht="12.75" customHeight="1">
      <c r="A16" s="398"/>
      <c r="B16" s="727" t="s">
        <v>131</v>
      </c>
      <c r="C16" s="725"/>
      <c r="D16" s="725"/>
      <c r="E16" s="728"/>
      <c r="F16" s="725">
        <v>2708.9</v>
      </c>
      <c r="G16" s="725">
        <v>24522.54</v>
      </c>
      <c r="H16" s="728">
        <f t="shared" si="1"/>
        <v>110.46571847777595</v>
      </c>
      <c r="I16" s="391"/>
      <c r="J16" s="391"/>
      <c r="K16" s="391"/>
      <c r="L16" s="409"/>
      <c r="M16" s="399"/>
    </row>
    <row r="17" spans="1:13" ht="12.75" customHeight="1">
      <c r="A17" s="398"/>
      <c r="B17" s="727" t="s">
        <v>132</v>
      </c>
      <c r="C17" s="725"/>
      <c r="D17" s="725"/>
      <c r="E17" s="728"/>
      <c r="F17" s="725">
        <v>2088</v>
      </c>
      <c r="G17" s="725">
        <v>18027</v>
      </c>
      <c r="H17" s="728">
        <f t="shared" si="1"/>
        <v>115.82626060908638</v>
      </c>
      <c r="I17" s="391"/>
      <c r="J17" s="391"/>
      <c r="K17" s="391"/>
      <c r="L17" s="409"/>
      <c r="M17" s="398"/>
    </row>
    <row r="18" spans="1:13" ht="12.75" customHeight="1">
      <c r="A18" s="398"/>
      <c r="B18" s="727" t="s">
        <v>133</v>
      </c>
      <c r="C18" s="731"/>
      <c r="D18" s="732"/>
      <c r="E18" s="735"/>
      <c r="F18" s="731">
        <v>2475</v>
      </c>
      <c r="G18" s="732">
        <v>20540</v>
      </c>
      <c r="H18" s="735">
        <f>(F18*1000)/G18</f>
        <v>120.49659201557935</v>
      </c>
      <c r="I18" s="394"/>
      <c r="J18" s="392"/>
      <c r="K18" s="392"/>
      <c r="L18" s="410"/>
      <c r="M18" s="398"/>
    </row>
    <row r="19" spans="1:13" ht="12.75" customHeight="1">
      <c r="A19" s="398"/>
      <c r="B19" s="733" t="s">
        <v>115</v>
      </c>
      <c r="C19" s="731">
        <f>SUM(C6:C18)-C14</f>
        <v>28392.44</v>
      </c>
      <c r="D19" s="750">
        <f>SUM(D6:D18)-D14</f>
        <v>236410.09999999998</v>
      </c>
      <c r="E19" s="737">
        <f>(C19*1000)/D19</f>
        <v>120.09825299342118</v>
      </c>
      <c r="F19" s="750">
        <f>SUM(F6:F18)-F14</f>
        <v>36753.776</v>
      </c>
      <c r="G19" s="750">
        <f>SUM(G6:G18)-G14</f>
        <v>282922.7333333333</v>
      </c>
      <c r="H19" s="734">
        <f>(F19*1000)/G19</f>
        <v>129.9074682581181</v>
      </c>
      <c r="I19" s="497"/>
      <c r="J19" s="497"/>
      <c r="K19" s="497"/>
      <c r="L19" s="552"/>
      <c r="M19" s="398"/>
    </row>
    <row r="20" spans="1:13" ht="12" customHeight="1">
      <c r="A20" s="398"/>
      <c r="B20" s="413" t="s">
        <v>116</v>
      </c>
      <c r="C20" s="414"/>
      <c r="D20" s="397" t="s">
        <v>341</v>
      </c>
      <c r="E20" s="489"/>
      <c r="F20" s="397"/>
      <c r="G20" s="415"/>
      <c r="H20" s="133"/>
      <c r="I20" s="133"/>
      <c r="J20" s="397" t="s">
        <v>135</v>
      </c>
      <c r="K20" s="133"/>
      <c r="L20" s="76"/>
      <c r="M20" s="398"/>
    </row>
    <row r="21" spans="1:13" ht="12" customHeight="1">
      <c r="A21" s="398"/>
      <c r="B21" s="413" t="s">
        <v>320</v>
      </c>
      <c r="C21" s="414"/>
      <c r="D21" s="397" t="s">
        <v>134</v>
      </c>
      <c r="E21" s="489"/>
      <c r="F21" s="489"/>
      <c r="G21" s="415"/>
      <c r="H21" s="133"/>
      <c r="I21" s="133"/>
      <c r="J21" s="397" t="s">
        <v>136</v>
      </c>
      <c r="K21" s="133"/>
      <c r="L21" s="76"/>
      <c r="M21" s="398"/>
    </row>
    <row r="22" spans="1:13" ht="15" customHeight="1">
      <c r="A22" s="398"/>
      <c r="B22" s="140"/>
      <c r="C22" s="414"/>
      <c r="D22" s="414"/>
      <c r="E22" s="133"/>
      <c r="F22" s="415"/>
      <c r="G22" s="415"/>
      <c r="H22" s="133"/>
      <c r="I22" s="133"/>
      <c r="J22" s="133"/>
      <c r="K22" s="133"/>
      <c r="L22" s="76"/>
      <c r="M22" s="398"/>
    </row>
    <row r="23" spans="1:13" ht="15" customHeight="1">
      <c r="A23" s="398"/>
      <c r="B23" s="416"/>
      <c r="C23" s="414"/>
      <c r="D23" s="414"/>
      <c r="E23" s="141"/>
      <c r="F23" s="141"/>
      <c r="G23" s="141"/>
      <c r="H23" s="141"/>
      <c r="I23" s="141"/>
      <c r="J23" s="141"/>
      <c r="K23" s="141"/>
      <c r="L23" s="142"/>
      <c r="M23" s="398"/>
    </row>
    <row r="24" spans="1:13" ht="15" customHeight="1">
      <c r="A24" s="398"/>
      <c r="B24" s="138"/>
      <c r="C24" s="133"/>
      <c r="D24" s="133"/>
      <c r="E24" s="133"/>
      <c r="F24" s="133"/>
      <c r="G24" s="133"/>
      <c r="H24" s="133"/>
      <c r="I24" s="133"/>
      <c r="J24" s="133"/>
      <c r="K24" s="133"/>
      <c r="L24" s="76"/>
      <c r="M24" s="398"/>
    </row>
    <row r="25" spans="1:13" ht="15" customHeight="1">
      <c r="A25" s="398"/>
      <c r="B25" s="138"/>
      <c r="C25" s="133"/>
      <c r="D25" s="133"/>
      <c r="E25" s="133"/>
      <c r="F25" s="133"/>
      <c r="G25" s="133"/>
      <c r="H25" s="133"/>
      <c r="I25" s="133"/>
      <c r="J25" s="133"/>
      <c r="K25" s="133"/>
      <c r="L25" s="76"/>
      <c r="M25" s="398"/>
    </row>
    <row r="26" spans="1:13" ht="15" customHeight="1">
      <c r="A26" s="398"/>
      <c r="B26" s="138"/>
      <c r="C26" s="133"/>
      <c r="D26" s="133"/>
      <c r="E26" s="133"/>
      <c r="F26" s="133"/>
      <c r="G26" s="133"/>
      <c r="H26" s="133"/>
      <c r="I26" s="133"/>
      <c r="J26" s="133"/>
      <c r="K26" s="133"/>
      <c r="L26" s="76"/>
      <c r="M26" s="398"/>
    </row>
    <row r="27" spans="1:13" ht="15" customHeight="1">
      <c r="A27" s="398"/>
      <c r="B27" s="138"/>
      <c r="C27" s="133"/>
      <c r="D27" s="133"/>
      <c r="E27" s="133"/>
      <c r="F27" s="133"/>
      <c r="G27" s="133"/>
      <c r="H27" s="133"/>
      <c r="I27" s="133"/>
      <c r="J27" s="133"/>
      <c r="K27" s="133"/>
      <c r="L27" s="76"/>
      <c r="M27" s="398"/>
    </row>
    <row r="28" spans="1:13" ht="15" customHeight="1">
      <c r="A28" s="398"/>
      <c r="B28" s="138"/>
      <c r="C28" s="133"/>
      <c r="D28" s="133"/>
      <c r="E28" s="133"/>
      <c r="F28" s="133"/>
      <c r="G28" s="133"/>
      <c r="H28" s="133"/>
      <c r="I28" s="133"/>
      <c r="J28" s="133"/>
      <c r="K28" s="133"/>
      <c r="L28" s="76"/>
      <c r="M28" s="398"/>
    </row>
    <row r="29" spans="1:13" ht="15" customHeight="1">
      <c r="A29" s="398"/>
      <c r="B29" s="138"/>
      <c r="C29" s="133"/>
      <c r="D29" s="133"/>
      <c r="E29" s="133"/>
      <c r="F29" s="133"/>
      <c r="G29" s="133"/>
      <c r="H29" s="133"/>
      <c r="I29" s="133"/>
      <c r="J29" s="133"/>
      <c r="K29" s="133"/>
      <c r="L29" s="76"/>
      <c r="M29" s="398"/>
    </row>
    <row r="30" spans="1:13" ht="15" customHeight="1">
      <c r="A30" s="398"/>
      <c r="B30" s="138"/>
      <c r="C30" s="133"/>
      <c r="D30" s="133"/>
      <c r="E30" s="133"/>
      <c r="F30" s="133"/>
      <c r="G30" s="133"/>
      <c r="H30" s="133"/>
      <c r="I30" s="133"/>
      <c r="J30" s="133"/>
      <c r="K30" s="133"/>
      <c r="L30" s="76"/>
      <c r="M30" s="398"/>
    </row>
    <row r="31" spans="1:13" ht="15" customHeight="1">
      <c r="A31" s="398"/>
      <c r="B31" s="138"/>
      <c r="C31" s="133"/>
      <c r="D31" s="133"/>
      <c r="E31" s="133"/>
      <c r="F31" s="133"/>
      <c r="G31" s="133"/>
      <c r="H31" s="133"/>
      <c r="I31" s="133"/>
      <c r="J31" s="133"/>
      <c r="K31" s="133"/>
      <c r="L31" s="76"/>
      <c r="M31" s="398"/>
    </row>
    <row r="32" spans="1:13" ht="15" customHeight="1">
      <c r="A32" s="398"/>
      <c r="B32" s="138"/>
      <c r="C32" s="133"/>
      <c r="D32" s="133"/>
      <c r="E32" s="133"/>
      <c r="F32" s="133"/>
      <c r="G32" s="133"/>
      <c r="H32" s="133"/>
      <c r="I32" s="133"/>
      <c r="J32" s="133"/>
      <c r="K32" s="133"/>
      <c r="L32" s="76"/>
      <c r="M32" s="398"/>
    </row>
    <row r="33" spans="1:13" ht="15" customHeight="1">
      <c r="A33" s="398"/>
      <c r="B33" s="417"/>
      <c r="C33" s="112"/>
      <c r="D33" s="112"/>
      <c r="E33" s="112"/>
      <c r="F33" s="112"/>
      <c r="G33" s="112"/>
      <c r="H33" s="112"/>
      <c r="I33" s="112"/>
      <c r="J33" s="112"/>
      <c r="K33" s="112"/>
      <c r="L33" s="418"/>
      <c r="M33" s="398"/>
    </row>
    <row r="34" spans="1:13" ht="15" customHeight="1">
      <c r="A34" s="398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398"/>
    </row>
    <row r="35" spans="2:12" ht="14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4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4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4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4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4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4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4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4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4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4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4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</sheetData>
  <sheetProtection/>
  <mergeCells count="6">
    <mergeCell ref="A1:M1"/>
    <mergeCell ref="B2:L2"/>
    <mergeCell ref="C4:E4"/>
    <mergeCell ref="F4:H4"/>
    <mergeCell ref="I4:J4"/>
    <mergeCell ref="K4:L4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T31" sqref="T31"/>
    </sheetView>
  </sheetViews>
  <sheetFormatPr defaultColWidth="11.421875" defaultRowHeight="12.75"/>
  <cols>
    <col min="1" max="1" width="2.7109375" style="2" customWidth="1"/>
    <col min="2" max="2" width="9.57421875" style="2" customWidth="1"/>
    <col min="3" max="3" width="10.00390625" style="2" customWidth="1"/>
    <col min="4" max="4" width="6.28125" style="2" bestFit="1" customWidth="1"/>
    <col min="5" max="5" width="6.57421875" style="2" bestFit="1" customWidth="1"/>
    <col min="6" max="6" width="11.28125" style="2" bestFit="1" customWidth="1"/>
    <col min="7" max="7" width="6.28125" style="2" bestFit="1" customWidth="1"/>
    <col min="8" max="8" width="7.28125" style="2" bestFit="1" customWidth="1"/>
    <col min="9" max="9" width="7.8515625" style="2" bestFit="1" customWidth="1"/>
    <col min="10" max="10" width="5.28125" style="2" bestFit="1" customWidth="1"/>
    <col min="11" max="11" width="6.57421875" style="2" bestFit="1" customWidth="1"/>
    <col min="12" max="12" width="10.28125" style="2" customWidth="1"/>
    <col min="13" max="13" width="9.421875" style="2" bestFit="1" customWidth="1"/>
    <col min="14" max="14" width="11.140625" style="2" customWidth="1"/>
    <col min="15" max="15" width="9.421875" style="2" bestFit="1" customWidth="1"/>
    <col min="16" max="16" width="7.8515625" style="2" bestFit="1" customWidth="1"/>
    <col min="17" max="17" width="5.28125" style="2" bestFit="1" customWidth="1"/>
    <col min="18" max="18" width="2.7109375" style="2" customWidth="1"/>
    <col min="19" max="16384" width="11.421875" style="2" customWidth="1"/>
  </cols>
  <sheetData>
    <row r="1" spans="1:18" ht="15" customHeight="1">
      <c r="A1" s="1433" t="s">
        <v>418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</row>
    <row r="2" spans="1:18" ht="22.5" customHeight="1">
      <c r="A2" s="398"/>
      <c r="B2" s="1440" t="s">
        <v>345</v>
      </c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2"/>
      <c r="R2" s="398"/>
    </row>
    <row r="3" spans="1:18" ht="13.5" customHeight="1" thickBot="1">
      <c r="A3" s="398"/>
      <c r="B3" s="501"/>
      <c r="C3" s="502"/>
      <c r="D3" s="502"/>
      <c r="E3" s="502"/>
      <c r="F3" s="502"/>
      <c r="G3" s="502"/>
      <c r="H3" s="502"/>
      <c r="I3" s="503"/>
      <c r="J3" s="503"/>
      <c r="K3" s="503"/>
      <c r="L3" s="503"/>
      <c r="M3" s="503"/>
      <c r="N3" s="503"/>
      <c r="O3" s="503"/>
      <c r="P3" s="503"/>
      <c r="Q3" s="504"/>
      <c r="R3" s="398"/>
    </row>
    <row r="4" spans="1:18" ht="12.75" customHeight="1">
      <c r="A4" s="398"/>
      <c r="B4" s="1456" t="s">
        <v>118</v>
      </c>
      <c r="C4" s="1453">
        <v>2016</v>
      </c>
      <c r="D4" s="1454"/>
      <c r="E4" s="1454"/>
      <c r="F4" s="1454"/>
      <c r="G4" s="1454"/>
      <c r="H4" s="1454"/>
      <c r="I4" s="1454"/>
      <c r="J4" s="1454"/>
      <c r="K4" s="1455"/>
      <c r="L4" s="1446">
        <v>2015</v>
      </c>
      <c r="M4" s="1438"/>
      <c r="N4" s="1447"/>
      <c r="O4" s="1447"/>
      <c r="P4" s="1447"/>
      <c r="Q4" s="509"/>
      <c r="R4" s="398"/>
    </row>
    <row r="5" spans="1:18" ht="12.75" customHeight="1">
      <c r="A5" s="398"/>
      <c r="B5" s="1457"/>
      <c r="C5" s="1450" t="s">
        <v>119</v>
      </c>
      <c r="D5" s="1448" t="s">
        <v>348</v>
      </c>
      <c r="E5" s="1449"/>
      <c r="F5" s="1450" t="s">
        <v>120</v>
      </c>
      <c r="G5" s="1452" t="s">
        <v>348</v>
      </c>
      <c r="H5" s="1449"/>
      <c r="I5" s="499" t="s">
        <v>11</v>
      </c>
      <c r="J5" s="1452" t="s">
        <v>348</v>
      </c>
      <c r="K5" s="1449"/>
      <c r="L5" s="1450" t="s">
        <v>119</v>
      </c>
      <c r="M5" s="500" t="s">
        <v>536</v>
      </c>
      <c r="N5" s="1450" t="s">
        <v>120</v>
      </c>
      <c r="O5" s="500" t="s">
        <v>536</v>
      </c>
      <c r="P5" s="499" t="s">
        <v>11</v>
      </c>
      <c r="Q5" s="500" t="s">
        <v>351</v>
      </c>
      <c r="R5" s="398"/>
    </row>
    <row r="6" spans="1:18" ht="12.75" customHeight="1" thickBot="1">
      <c r="A6" s="398"/>
      <c r="B6" s="1451"/>
      <c r="C6" s="1451"/>
      <c r="D6" s="505" t="s">
        <v>349</v>
      </c>
      <c r="E6" s="506" t="s">
        <v>450</v>
      </c>
      <c r="F6" s="1451"/>
      <c r="G6" s="506" t="s">
        <v>349</v>
      </c>
      <c r="H6" s="507" t="s">
        <v>450</v>
      </c>
      <c r="I6" s="508" t="s">
        <v>350</v>
      </c>
      <c r="J6" s="506" t="s">
        <v>349</v>
      </c>
      <c r="K6" s="507" t="s">
        <v>450</v>
      </c>
      <c r="L6" s="1451"/>
      <c r="M6" s="505" t="s">
        <v>535</v>
      </c>
      <c r="N6" s="1451"/>
      <c r="O6" s="505" t="s">
        <v>535</v>
      </c>
      <c r="P6" s="508" t="s">
        <v>350</v>
      </c>
      <c r="Q6" s="506" t="s">
        <v>12</v>
      </c>
      <c r="R6" s="398"/>
    </row>
    <row r="7" spans="1:18" ht="12.75" customHeight="1">
      <c r="A7" s="398"/>
      <c r="B7" s="88" t="s">
        <v>121</v>
      </c>
      <c r="C7" s="738">
        <f>'14.Exp. Verde'!C6+'15.Exp. Solúvel'!C6+'16.Exp. Torrado'!C6+'17.Exp. Extrato'!C6</f>
        <v>403561.34</v>
      </c>
      <c r="D7" s="740">
        <v>0</v>
      </c>
      <c r="E7" s="740">
        <f aca="true" t="shared" si="0" ref="E7:E14">(C7/L7-1)*100</f>
        <v>-31.487830964491124</v>
      </c>
      <c r="F7" s="738">
        <f>'14.Exp. Verde'!D6+'15.Exp. Solúvel'!D6+'16.Exp. Torrado'!D6+'17.Exp. Extrato'!D6</f>
        <v>2754948.07</v>
      </c>
      <c r="G7" s="739" t="s">
        <v>346</v>
      </c>
      <c r="H7" s="740">
        <f aca="true" t="shared" si="1" ref="H7:H14">(F7/N7-1)*100</f>
        <v>-7.562386946332733</v>
      </c>
      <c r="I7" s="741">
        <f aca="true" t="shared" si="2" ref="I7:I14">(C7*1000)/F7</f>
        <v>146.48600617724168</v>
      </c>
      <c r="J7" s="742" t="s">
        <v>346</v>
      </c>
      <c r="K7" s="740">
        <f aca="true" t="shared" si="3" ref="K7:K14">(I7/P7-1)*100</f>
        <v>-25.88280162996832</v>
      </c>
      <c r="L7" s="738">
        <f>'14.Exp. Verde'!F6+'15.Exp. Solúvel'!F6+'16.Exp. Torrado'!F6+'17.Exp. Extrato'!F6</f>
        <v>589036</v>
      </c>
      <c r="M7" s="739" t="s">
        <v>346</v>
      </c>
      <c r="N7" s="743">
        <f>'14.Exp. Verde'!G6+'15.Exp. Solúvel'!G6+'16.Exp. Torrado'!G6+'17.Exp. Extrato'!G6</f>
        <v>2980332.3333333335</v>
      </c>
      <c r="O7" s="739" t="s">
        <v>346</v>
      </c>
      <c r="P7" s="728">
        <f aca="true" t="shared" si="4" ref="P7:P14">(L7*1000)/N7</f>
        <v>197.64104607126026</v>
      </c>
      <c r="Q7" s="739" t="s">
        <v>346</v>
      </c>
      <c r="R7" s="398"/>
    </row>
    <row r="8" spans="1:18" ht="12.75" customHeight="1">
      <c r="A8" s="828"/>
      <c r="B8" s="88" t="s">
        <v>122</v>
      </c>
      <c r="C8" s="738">
        <f>'14.Exp. Verde'!C7+'15.Exp. Solúvel'!C7+'16.Exp. Torrado'!C7+'17.Exp. Extrato'!C7</f>
        <v>447537.25</v>
      </c>
      <c r="D8" s="744">
        <f aca="true" t="shared" si="5" ref="D8:D14">(C8/C7-1)*100</f>
        <v>10.896958068381867</v>
      </c>
      <c r="E8" s="744">
        <f t="shared" si="0"/>
        <v>-17.1258008962631</v>
      </c>
      <c r="F8" s="738">
        <f>'14.Exp. Verde'!D7+'15.Exp. Solúvel'!D7+'16.Exp. Torrado'!D7+'17.Exp. Extrato'!D7</f>
        <v>3009104.4</v>
      </c>
      <c r="G8" s="744">
        <f aca="true" t="shared" si="6" ref="G8:G14">(F8/F7-1)*100</f>
        <v>9.225449029970289</v>
      </c>
      <c r="H8" s="744">
        <f t="shared" si="1"/>
        <v>8.362403897739279</v>
      </c>
      <c r="I8" s="745">
        <f t="shared" si="2"/>
        <v>148.72772443521734</v>
      </c>
      <c r="J8" s="744">
        <f>(I8/I7-1)*100</f>
        <v>1.530329289791199</v>
      </c>
      <c r="K8" s="744">
        <f t="shared" si="3"/>
        <v>-23.52126187423398</v>
      </c>
      <c r="L8" s="738">
        <f>'14.Exp. Verde'!F7+'15.Exp. Solúvel'!F7+'16.Exp. Torrado'!F7+'17.Exp. Extrato'!F7</f>
        <v>540020</v>
      </c>
      <c r="M8" s="744">
        <f aca="true" t="shared" si="7" ref="M8:M14">(L8/L7-1)*100</f>
        <v>-8.321392919957349</v>
      </c>
      <c r="N8" s="738">
        <f>'14.Exp. Verde'!G7+'15.Exp. Solúvel'!G7+'16.Exp. Torrado'!G7+'17.Exp. Extrato'!G7</f>
        <v>2776889.6700000004</v>
      </c>
      <c r="O8" s="744">
        <f aca="true" t="shared" si="8" ref="O8:O14">(N8/N7-1)*100</f>
        <v>-6.826173747737519</v>
      </c>
      <c r="P8" s="747">
        <f t="shared" si="4"/>
        <v>194.4693755153765</v>
      </c>
      <c r="Q8" s="744">
        <f aca="true" t="shared" si="9" ref="Q8:Q14">(P8/P7-1)*100</f>
        <v>-1.6047630889082676</v>
      </c>
      <c r="R8" s="398"/>
    </row>
    <row r="9" spans="1:18" ht="12.75" customHeight="1">
      <c r="A9" s="398"/>
      <c r="B9" s="88" t="s">
        <v>123</v>
      </c>
      <c r="C9" s="738">
        <f>'14.Exp. Verde'!C8+'15.Exp. Solúvel'!C8+'16.Exp. Torrado'!C8+'17.Exp. Extrato'!C8</f>
        <v>454818.861</v>
      </c>
      <c r="D9" s="744">
        <f t="shared" si="5"/>
        <v>1.6270402072676493</v>
      </c>
      <c r="E9" s="744">
        <f t="shared" si="0"/>
        <v>-20.941902877991726</v>
      </c>
      <c r="F9" s="738">
        <f>'14.Exp. Verde'!D8+'15.Exp. Solúvel'!D8+'16.Exp. Torrado'!D8+'17.Exp. Extrato'!D8</f>
        <v>3108436.921</v>
      </c>
      <c r="G9" s="744">
        <f t="shared" si="6"/>
        <v>3.301065958362903</v>
      </c>
      <c r="H9" s="744">
        <f t="shared" si="1"/>
        <v>-2.129463208227822</v>
      </c>
      <c r="I9" s="745">
        <f t="shared" si="2"/>
        <v>146.31754562150886</v>
      </c>
      <c r="J9" s="744">
        <f>(I9/I8-1)*100</f>
        <v>-1.620530955382371</v>
      </c>
      <c r="K9" s="744">
        <f t="shared" si="3"/>
        <v>-19.221759976435948</v>
      </c>
      <c r="L9" s="738">
        <f>'14.Exp. Verde'!F8+'15.Exp. Solúvel'!F8+'16.Exp. Torrado'!F8+'17.Exp. Extrato'!F8</f>
        <v>575297</v>
      </c>
      <c r="M9" s="744">
        <f t="shared" si="7"/>
        <v>6.532535832006214</v>
      </c>
      <c r="N9" s="738">
        <f>'14.Exp. Verde'!G8+'15.Exp. Solúvel'!G8+'16.Exp. Torrado'!G8+'17.Exp. Extrato'!G8</f>
        <v>3176070.166666667</v>
      </c>
      <c r="O9" s="744">
        <f t="shared" si="8"/>
        <v>14.37509386776128</v>
      </c>
      <c r="P9" s="747">
        <f t="shared" si="4"/>
        <v>181.13485213199266</v>
      </c>
      <c r="Q9" s="744">
        <f t="shared" si="9"/>
        <v>-6.856875715286847</v>
      </c>
      <c r="R9" s="398"/>
    </row>
    <row r="10" spans="1:18" ht="12.75" customHeight="1">
      <c r="A10" s="792"/>
      <c r="B10" s="88" t="s">
        <v>124</v>
      </c>
      <c r="C10" s="738">
        <f>'14.Exp. Verde'!C9+'15.Exp. Solúvel'!C9+'16.Exp. Torrado'!C9+'17.Exp. Extrato'!C9</f>
        <v>371491.378</v>
      </c>
      <c r="D10" s="744">
        <f t="shared" si="5"/>
        <v>-18.32102626896116</v>
      </c>
      <c r="E10" s="744">
        <f t="shared" si="0"/>
        <v>-29.269511691269003</v>
      </c>
      <c r="F10" s="738">
        <f>'14.Exp. Verde'!D9+'15.Exp. Solúvel'!D9+'16.Exp. Torrado'!D9+'17.Exp. Extrato'!D9</f>
        <v>2542429.4203</v>
      </c>
      <c r="G10" s="744">
        <f t="shared" si="6"/>
        <v>-18.208749769897626</v>
      </c>
      <c r="H10" s="744">
        <f t="shared" si="1"/>
        <v>-19.28577263755651</v>
      </c>
      <c r="I10" s="745">
        <f t="shared" si="2"/>
        <v>146.1166925751532</v>
      </c>
      <c r="J10" s="744">
        <f>(I10/I9-1)*100</f>
        <v>-0.13727201717504967</v>
      </c>
      <c r="K10" s="744">
        <f t="shared" si="3"/>
        <v>-12.369243168098453</v>
      </c>
      <c r="L10" s="738">
        <f>'14.Exp. Verde'!F9+'15.Exp. Solúvel'!F9+'16.Exp. Torrado'!F9+'17.Exp. Extrato'!F9</f>
        <v>525221</v>
      </c>
      <c r="M10" s="744">
        <f t="shared" si="7"/>
        <v>-8.704373567044499</v>
      </c>
      <c r="N10" s="738">
        <f>'14.Exp. Verde'!G9+'15.Exp. Solúvel'!G9+'16.Exp. Torrado'!G9+'17.Exp. Extrato'!G9</f>
        <v>3149914.8333333335</v>
      </c>
      <c r="O10" s="744">
        <f t="shared" si="8"/>
        <v>-0.8235124528367721</v>
      </c>
      <c r="P10" s="747">
        <f t="shared" si="4"/>
        <v>166.74133358843721</v>
      </c>
      <c r="Q10" s="744">
        <f t="shared" si="9"/>
        <v>-7.946299883286356</v>
      </c>
      <c r="R10" s="398"/>
    </row>
    <row r="11" spans="1:18" ht="12.75" customHeight="1">
      <c r="A11" s="398"/>
      <c r="B11" s="88" t="s">
        <v>125</v>
      </c>
      <c r="C11" s="738">
        <f>'14.Exp. Verde'!C10+'15.Exp. Solúvel'!C10+'16.Exp. Torrado'!C10+'17.Exp. Extrato'!C10+'12.Exportações'!D17</f>
        <v>361348.78099999996</v>
      </c>
      <c r="D11" s="744">
        <f t="shared" si="5"/>
        <v>-2.7302375238437038</v>
      </c>
      <c r="E11" s="744">
        <f t="shared" si="0"/>
        <v>-25.324056765051374</v>
      </c>
      <c r="F11" s="738">
        <f>'14.Exp. Verde'!D10+'15.Exp. Solúvel'!D10+'16.Exp. Torrado'!D10+'17.Exp. Extrato'!D10+'12.Exportações'!E17</f>
        <v>2480123.514</v>
      </c>
      <c r="G11" s="744">
        <f t="shared" si="6"/>
        <v>-2.4506444821051465</v>
      </c>
      <c r="H11" s="744">
        <f t="shared" si="1"/>
        <v>-15.266897211223984</v>
      </c>
      <c r="I11" s="745">
        <f t="shared" si="2"/>
        <v>145.69789728625585</v>
      </c>
      <c r="J11" s="744">
        <f>(I11/I10-1)*100</f>
        <v>-0.2866170055703554</v>
      </c>
      <c r="K11" s="740">
        <f t="shared" si="3"/>
        <v>-11.869221381988137</v>
      </c>
      <c r="L11" s="738">
        <f>'14.Exp. Verde'!F10+'15.Exp. Solúvel'!F10+'16.Exp. Torrado'!F10+'17.Exp. Extrato'!F10+'12.Exportações'!G17</f>
        <v>483889.142</v>
      </c>
      <c r="M11" s="744">
        <f t="shared" si="7"/>
        <v>-7.869422205128895</v>
      </c>
      <c r="N11" s="738">
        <f>'14.Exp. Verde'!G10+'15.Exp. Solúvel'!G10+'16.Exp. Torrado'!G10+'17.Exp. Extrato'!G10</f>
        <v>2926983</v>
      </c>
      <c r="O11" s="744">
        <f t="shared" si="8"/>
        <v>-7.077392409921779</v>
      </c>
      <c r="P11" s="747">
        <f t="shared" si="4"/>
        <v>165.32010674472656</v>
      </c>
      <c r="Q11" s="744">
        <f t="shared" si="9"/>
        <v>-0.8523542502176573</v>
      </c>
      <c r="R11" s="398"/>
    </row>
    <row r="12" spans="1:18" ht="12.75" customHeight="1">
      <c r="A12" s="828"/>
      <c r="B12" s="88" t="s">
        <v>126</v>
      </c>
      <c r="C12" s="738">
        <f>'14.Exp. Verde'!C11+'15.Exp. Solúvel'!C11+'16.Exp. Torrado'!C11+'17.Exp. Extrato'!C11</f>
        <v>353979.89999999997</v>
      </c>
      <c r="D12" s="744">
        <f t="shared" si="5"/>
        <v>-2.0392710277331694</v>
      </c>
      <c r="E12" s="744">
        <f t="shared" si="0"/>
        <v>-21.2664148828271</v>
      </c>
      <c r="F12" s="738">
        <f>'14.Exp. Verde'!D11+'15.Exp. Solúvel'!D11+'16.Exp. Torrado'!D11+'17.Exp. Extrato'!D11</f>
        <v>2412817.555</v>
      </c>
      <c r="G12" s="744">
        <f t="shared" si="6"/>
        <v>-2.7138148007575302</v>
      </c>
      <c r="H12" s="744">
        <f t="shared" si="1"/>
        <v>-11.642619247997288</v>
      </c>
      <c r="I12" s="745">
        <f t="shared" si="2"/>
        <v>146.70810864520584</v>
      </c>
      <c r="J12" s="744">
        <f>(I12/I11-1)*100</f>
        <v>0.6933602871187716</v>
      </c>
      <c r="K12" s="744">
        <f t="shared" si="3"/>
        <v>-10.891897827801655</v>
      </c>
      <c r="L12" s="738">
        <f>'14.Exp. Verde'!F11+'15.Exp. Solúvel'!F11+'16.Exp. Torrado'!F11+'17.Exp. Extrato'!F11</f>
        <v>449592</v>
      </c>
      <c r="M12" s="744">
        <f t="shared" si="7"/>
        <v>-7.08780979425242</v>
      </c>
      <c r="N12" s="738">
        <f>'14.Exp. Verde'!G11+'15.Exp. Solúvel'!G11+'16.Exp. Torrado'!G11+'17.Exp. Extrato'!G11</f>
        <v>2730748.1666666665</v>
      </c>
      <c r="O12" s="740">
        <f t="shared" si="8"/>
        <v>-6.7043379935357805</v>
      </c>
      <c r="P12" s="747">
        <f t="shared" si="4"/>
        <v>164.6405939178207</v>
      </c>
      <c r="Q12" s="744">
        <f t="shared" si="9"/>
        <v>-0.41102854352441653</v>
      </c>
      <c r="R12" s="398"/>
    </row>
    <row r="13" spans="1:18" ht="12.75" customHeight="1">
      <c r="A13" s="828"/>
      <c r="B13" s="88" t="s">
        <v>128</v>
      </c>
      <c r="C13" s="738">
        <f>'14.Exp. Verde'!C12+'15.Exp. Solúvel'!C12+'16.Exp. Torrado'!C12+'17.Exp. Extrato'!C12</f>
        <v>323029.811</v>
      </c>
      <c r="D13" s="744">
        <f t="shared" si="5"/>
        <v>-8.743459445013679</v>
      </c>
      <c r="E13" s="744">
        <f t="shared" si="0"/>
        <v>-29.927849482425017</v>
      </c>
      <c r="F13" s="738">
        <f>'14.Exp. Verde'!D12+'15.Exp. Solúvel'!D12+'16.Exp. Torrado'!D12+'17.Exp. Extrato'!D12</f>
        <v>2077198.5404999994</v>
      </c>
      <c r="G13" s="744">
        <f t="shared" si="6"/>
        <v>-13.909838056528923</v>
      </c>
      <c r="H13" s="744">
        <f t="shared" si="1"/>
        <v>-27.06137984783026</v>
      </c>
      <c r="I13" s="745">
        <f t="shared" si="2"/>
        <v>155.5122462787038</v>
      </c>
      <c r="J13" s="744">
        <f>(I13/I12-1)*100</f>
        <v>6.001125442077382</v>
      </c>
      <c r="K13" s="744">
        <f t="shared" si="3"/>
        <v>-3.9299751333580435</v>
      </c>
      <c r="L13" s="738">
        <f>'14.Exp. Verde'!F12+'15.Exp. Solúvel'!F12+'16.Exp. Torrado'!F12+'17.Exp. Extrato'!F12</f>
        <v>460996</v>
      </c>
      <c r="M13" s="744">
        <f t="shared" si="7"/>
        <v>2.536522002170849</v>
      </c>
      <c r="N13" s="738">
        <f>'14.Exp. Verde'!G12+'15.Exp. Solúvel'!G12+'16.Exp. Torrado'!G12+'17.Exp. Extrato'!G12</f>
        <v>2847872</v>
      </c>
      <c r="O13" s="744">
        <f t="shared" si="8"/>
        <v>4.289074868309917</v>
      </c>
      <c r="P13" s="747">
        <f t="shared" si="4"/>
        <v>161.87384826284327</v>
      </c>
      <c r="Q13" s="744">
        <f t="shared" si="9"/>
        <v>-1.6804759926694834</v>
      </c>
      <c r="R13" s="792"/>
    </row>
    <row r="14" spans="1:18" ht="12.75" customHeight="1">
      <c r="A14" s="398"/>
      <c r="B14" s="825" t="s">
        <v>129</v>
      </c>
      <c r="C14" s="548">
        <f>'14.Exp. Verde'!C13+'15.Exp. Solúvel'!C13+'16.Exp. Torrado'!C13+'17.Exp. Extrato'!C13</f>
        <v>476881.88499999995</v>
      </c>
      <c r="D14" s="748">
        <f t="shared" si="5"/>
        <v>47.6278252845215</v>
      </c>
      <c r="E14" s="748">
        <f t="shared" si="0"/>
        <v>-0.06620797108909393</v>
      </c>
      <c r="F14" s="548">
        <f>'14.Exp. Verde'!D13+'15.Exp. Solúvel'!D13+'16.Exp. Torrado'!D13+'17.Exp. Extrato'!D13</f>
        <v>2970884.837833333</v>
      </c>
      <c r="G14" s="748">
        <f t="shared" si="6"/>
        <v>43.02363399110687</v>
      </c>
      <c r="H14" s="748">
        <f t="shared" si="1"/>
        <v>-0.8281528469180288</v>
      </c>
      <c r="I14" s="749">
        <f t="shared" si="2"/>
        <v>160.51846874946187</v>
      </c>
      <c r="J14" s="748">
        <f>(I14/I13-1)*100</f>
        <v>3.2191821483859906</v>
      </c>
      <c r="K14" s="1199">
        <f t="shared" si="3"/>
        <v>0.7683076374011444</v>
      </c>
      <c r="L14" s="548">
        <f>'14.Exp. Verde'!F13+'15.Exp. Solúvel'!F13+'16.Exp. Torrado'!F13+'17.Exp. Extrato'!F13</f>
        <v>477197.828</v>
      </c>
      <c r="M14" s="748">
        <f t="shared" si="7"/>
        <v>3.5145268071740343</v>
      </c>
      <c r="N14" s="548">
        <f>'14.Exp. Verde'!G13+'15.Exp. Solúvel'!G13+'16.Exp. Torrado'!G13+'17.Exp. Extrato'!G13</f>
        <v>2995693.761</v>
      </c>
      <c r="O14" s="748">
        <f t="shared" si="8"/>
        <v>5.190604107207064</v>
      </c>
      <c r="P14" s="1125">
        <f t="shared" si="4"/>
        <v>159.29459620088318</v>
      </c>
      <c r="Q14" s="748">
        <f t="shared" si="9"/>
        <v>-1.593371683962208</v>
      </c>
      <c r="R14" s="398"/>
    </row>
    <row r="15" spans="1:18" ht="12.75" customHeight="1">
      <c r="A15" s="398"/>
      <c r="B15" s="88" t="s">
        <v>130</v>
      </c>
      <c r="C15" s="738"/>
      <c r="D15" s="740"/>
      <c r="E15" s="744"/>
      <c r="F15" s="738"/>
      <c r="G15" s="740"/>
      <c r="H15" s="744"/>
      <c r="I15" s="741"/>
      <c r="J15" s="744"/>
      <c r="K15" s="744"/>
      <c r="L15" s="738"/>
      <c r="M15" s="740"/>
      <c r="N15" s="738"/>
      <c r="O15" s="740"/>
      <c r="P15" s="728"/>
      <c r="Q15" s="744"/>
      <c r="R15" s="398"/>
    </row>
    <row r="16" spans="1:18" ht="14.25">
      <c r="A16" s="398"/>
      <c r="B16" s="88" t="s">
        <v>131</v>
      </c>
      <c r="C16" s="738"/>
      <c r="D16" s="744"/>
      <c r="E16" s="744"/>
      <c r="F16" s="738"/>
      <c r="G16" s="744"/>
      <c r="H16" s="744"/>
      <c r="I16" s="745"/>
      <c r="J16" s="744"/>
      <c r="K16" s="744"/>
      <c r="L16" s="746"/>
      <c r="M16" s="744"/>
      <c r="N16" s="746"/>
      <c r="O16" s="744"/>
      <c r="P16" s="747"/>
      <c r="Q16" s="744"/>
      <c r="R16" s="399"/>
    </row>
    <row r="17" spans="1:18" ht="14.25">
      <c r="A17" s="398"/>
      <c r="B17" s="88" t="s">
        <v>132</v>
      </c>
      <c r="C17" s="738"/>
      <c r="D17" s="744"/>
      <c r="E17" s="744"/>
      <c r="F17" s="738"/>
      <c r="G17" s="744"/>
      <c r="H17" s="744"/>
      <c r="I17" s="745"/>
      <c r="J17" s="744"/>
      <c r="K17" s="744"/>
      <c r="L17" s="746"/>
      <c r="M17" s="744"/>
      <c r="N17" s="746"/>
      <c r="O17" s="744"/>
      <c r="P17" s="747"/>
      <c r="Q17" s="744"/>
      <c r="R17" s="398"/>
    </row>
    <row r="18" spans="1:18" ht="14.25">
      <c r="A18" s="398"/>
      <c r="B18" s="88" t="s">
        <v>133</v>
      </c>
      <c r="C18" s="548"/>
      <c r="D18" s="748"/>
      <c r="E18" s="748"/>
      <c r="F18" s="548"/>
      <c r="G18" s="748"/>
      <c r="H18" s="748"/>
      <c r="I18" s="749"/>
      <c r="J18" s="748"/>
      <c r="K18" s="748"/>
      <c r="L18" s="729"/>
      <c r="M18" s="748"/>
      <c r="N18" s="746"/>
      <c r="O18" s="740"/>
      <c r="P18" s="735"/>
      <c r="Q18" s="748"/>
      <c r="R18" s="398"/>
    </row>
    <row r="19" spans="1:18" ht="14.25">
      <c r="A19" s="398"/>
      <c r="B19" s="411" t="s">
        <v>115</v>
      </c>
      <c r="C19" s="763">
        <f>SUM(C7:C18)</f>
        <v>3192649.2060000002</v>
      </c>
      <c r="D19" s="764">
        <v>0</v>
      </c>
      <c r="E19" s="762">
        <f>(C19/L19-1)*100</f>
        <v>-22.154221083534942</v>
      </c>
      <c r="F19" s="765">
        <f>SUM(F7:F18)</f>
        <v>21355943.25863333</v>
      </c>
      <c r="G19" s="764">
        <v>0</v>
      </c>
      <c r="H19" s="833">
        <f>(F19/N19-1)*100</f>
        <v>-9.449258203126343</v>
      </c>
      <c r="I19" s="769">
        <f>(C19*1000)/F19</f>
        <v>149.4969886057055</v>
      </c>
      <c r="J19" s="766">
        <v>0</v>
      </c>
      <c r="K19" s="762">
        <f>(I19/P19-1)*100</f>
        <v>-14.030766207204337</v>
      </c>
      <c r="L19" s="767">
        <f>SUM(L7:L18)</f>
        <v>4101248.9699999997</v>
      </c>
      <c r="M19" s="762">
        <v>0</v>
      </c>
      <c r="N19" s="767">
        <f>SUM(N7:N18)</f>
        <v>23584503.931</v>
      </c>
      <c r="O19" s="768">
        <v>0</v>
      </c>
      <c r="P19" s="775">
        <f>(L19*1000)/N19</f>
        <v>173.8959183537978</v>
      </c>
      <c r="Q19" s="766">
        <v>0</v>
      </c>
      <c r="R19" s="398"/>
    </row>
    <row r="20" spans="1:18" ht="12.75" customHeight="1">
      <c r="A20" s="398"/>
      <c r="B20" s="413" t="s">
        <v>116</v>
      </c>
      <c r="C20" s="414"/>
      <c r="D20" s="414"/>
      <c r="E20" s="758"/>
      <c r="F20" s="414"/>
      <c r="G20" s="414"/>
      <c r="H20" s="414"/>
      <c r="I20" s="133"/>
      <c r="J20" s="133"/>
      <c r="K20" s="133"/>
      <c r="L20" s="397"/>
      <c r="M20" s="397"/>
      <c r="N20" s="415"/>
      <c r="O20" s="415"/>
      <c r="P20" s="133"/>
      <c r="Q20" s="76"/>
      <c r="R20" s="398"/>
    </row>
    <row r="21" spans="1:18" ht="12.75" customHeight="1">
      <c r="A21" s="398"/>
      <c r="B21" s="413" t="s">
        <v>320</v>
      </c>
      <c r="C21" s="414"/>
      <c r="D21" s="414"/>
      <c r="E21" s="414"/>
      <c r="F21" s="414"/>
      <c r="G21" s="414"/>
      <c r="H21" s="414"/>
      <c r="I21" s="133"/>
      <c r="J21" s="133"/>
      <c r="K21" s="133"/>
      <c r="L21" s="397" t="s">
        <v>134</v>
      </c>
      <c r="M21" s="397"/>
      <c r="N21" s="397" t="s">
        <v>347</v>
      </c>
      <c r="O21" s="415"/>
      <c r="P21" s="133"/>
      <c r="Q21" s="76"/>
      <c r="R21" s="398"/>
    </row>
    <row r="22" spans="1:18" ht="15" customHeight="1">
      <c r="A22" s="398"/>
      <c r="B22" s="140"/>
      <c r="C22" s="414"/>
      <c r="D22" s="414"/>
      <c r="E22" s="414"/>
      <c r="F22" s="414"/>
      <c r="G22" s="414"/>
      <c r="H22" s="414"/>
      <c r="I22" s="133"/>
      <c r="J22" s="133"/>
      <c r="K22" s="133"/>
      <c r="L22" s="415"/>
      <c r="M22" s="415"/>
      <c r="N22" s="415"/>
      <c r="O22" s="415"/>
      <c r="P22" s="133"/>
      <c r="Q22" s="76"/>
      <c r="R22" s="398"/>
    </row>
    <row r="23" spans="1:18" ht="15" customHeight="1">
      <c r="A23" s="398"/>
      <c r="B23" s="416"/>
      <c r="C23" s="414"/>
      <c r="D23" s="414"/>
      <c r="E23" s="414"/>
      <c r="F23" s="414"/>
      <c r="G23" s="414"/>
      <c r="H23" s="414"/>
      <c r="I23" s="141"/>
      <c r="J23" s="141"/>
      <c r="K23" s="141"/>
      <c r="L23" s="141"/>
      <c r="M23" s="141"/>
      <c r="N23" s="141"/>
      <c r="O23" s="141"/>
      <c r="P23" s="141"/>
      <c r="Q23" s="142"/>
      <c r="R23" s="398"/>
    </row>
    <row r="24" spans="1:18" ht="15" customHeight="1">
      <c r="A24" s="398"/>
      <c r="B24" s="138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76"/>
      <c r="R24" s="398"/>
    </row>
    <row r="25" spans="1:18" ht="15" customHeight="1">
      <c r="A25" s="398"/>
      <c r="B25" s="138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76"/>
      <c r="R25" s="398"/>
    </row>
    <row r="26" spans="1:18" ht="15" customHeight="1">
      <c r="A26" s="398"/>
      <c r="B26" s="138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76"/>
      <c r="R26" s="398"/>
    </row>
    <row r="27" spans="1:18" ht="15" customHeight="1">
      <c r="A27" s="398"/>
      <c r="B27" s="138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76"/>
      <c r="R27" s="398"/>
    </row>
    <row r="28" spans="1:18" ht="15" customHeight="1">
      <c r="A28" s="398"/>
      <c r="B28" s="138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76"/>
      <c r="R28" s="398"/>
    </row>
    <row r="29" spans="1:18" ht="15" customHeight="1">
      <c r="A29" s="398"/>
      <c r="B29" s="138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76"/>
      <c r="R29" s="398"/>
    </row>
    <row r="30" spans="1:18" ht="15" customHeight="1">
      <c r="A30" s="398"/>
      <c r="B30" s="138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76"/>
      <c r="R30" s="398"/>
    </row>
    <row r="31" spans="1:18" ht="15" customHeight="1">
      <c r="A31" s="398"/>
      <c r="B31" s="138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76"/>
      <c r="R31" s="398"/>
    </row>
    <row r="32" spans="1:18" ht="15" customHeight="1">
      <c r="A32" s="398"/>
      <c r="B32" s="138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76"/>
      <c r="R32" s="398"/>
    </row>
    <row r="33" spans="1:18" ht="15" customHeight="1">
      <c r="A33" s="398"/>
      <c r="B33" s="417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418"/>
      <c r="R33" s="398"/>
    </row>
    <row r="34" spans="1:18" ht="14.25">
      <c r="A34" s="398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398"/>
    </row>
    <row r="35" spans="2:17" ht="14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4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4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4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4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4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4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4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4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4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4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4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4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4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4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4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4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4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4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4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4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4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4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4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4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</sheetData>
  <sheetProtection/>
  <mergeCells count="12">
    <mergeCell ref="A1:R1"/>
    <mergeCell ref="B2:Q2"/>
    <mergeCell ref="L4:P4"/>
    <mergeCell ref="D5:E5"/>
    <mergeCell ref="C5:C6"/>
    <mergeCell ref="G5:H5"/>
    <mergeCell ref="F5:F6"/>
    <mergeCell ref="L5:L6"/>
    <mergeCell ref="N5:N6"/>
    <mergeCell ref="J5:K5"/>
    <mergeCell ref="C4:K4"/>
    <mergeCell ref="B4:B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20" sqref="A20:J20"/>
    </sheetView>
  </sheetViews>
  <sheetFormatPr defaultColWidth="9.140625" defaultRowHeight="12.75"/>
  <cols>
    <col min="1" max="1" width="20.8515625" style="0" customWidth="1"/>
    <col min="2" max="3" width="10.28125" style="0" bestFit="1" customWidth="1"/>
    <col min="4" max="4" width="8.8515625" style="0" bestFit="1" customWidth="1"/>
    <col min="5" max="6" width="10.28125" style="0" bestFit="1" customWidth="1"/>
    <col min="7" max="7" width="8.8515625" style="0" bestFit="1" customWidth="1"/>
    <col min="8" max="9" width="8.140625" style="0" bestFit="1" customWidth="1"/>
    <col min="10" max="10" width="8.8515625" style="0" bestFit="1" customWidth="1"/>
  </cols>
  <sheetData>
    <row r="1" spans="1:10" ht="12.75">
      <c r="A1" s="1458" t="s">
        <v>419</v>
      </c>
      <c r="B1" s="1458"/>
      <c r="C1" s="1458"/>
      <c r="D1" s="1458"/>
      <c r="E1" s="1458"/>
      <c r="F1" s="1458"/>
      <c r="G1" s="1458"/>
      <c r="H1" s="1458"/>
      <c r="I1" s="1458"/>
      <c r="J1" s="1458"/>
    </row>
    <row r="2" spans="1:10" ht="15.75">
      <c r="A2" s="1475" t="s">
        <v>139</v>
      </c>
      <c r="B2" s="1475"/>
      <c r="C2" s="1475"/>
      <c r="D2" s="1475"/>
      <c r="E2" s="1475"/>
      <c r="F2" s="1475"/>
      <c r="G2" s="1475"/>
      <c r="H2" s="1475"/>
      <c r="I2" s="1475"/>
      <c r="J2" s="1475"/>
    </row>
    <row r="3" spans="1:10" ht="12.75">
      <c r="A3" s="382"/>
      <c r="B3" s="382"/>
      <c r="C3" s="382"/>
      <c r="D3" s="382"/>
      <c r="E3" s="382"/>
      <c r="F3" s="382"/>
      <c r="G3" s="383"/>
      <c r="H3" s="382"/>
      <c r="I3" s="382"/>
      <c r="J3" s="382"/>
    </row>
    <row r="4" spans="1:10" ht="12.75">
      <c r="A4" s="1462" t="s">
        <v>84</v>
      </c>
      <c r="B4" s="1477" t="s">
        <v>602</v>
      </c>
      <c r="C4" s="1478"/>
      <c r="D4" s="1478"/>
      <c r="E4" s="1477" t="s">
        <v>603</v>
      </c>
      <c r="F4" s="1478"/>
      <c r="G4" s="1478"/>
      <c r="H4" s="1468" t="s">
        <v>105</v>
      </c>
      <c r="I4" s="1468"/>
      <c r="J4" s="1469"/>
    </row>
    <row r="5" spans="1:10" ht="12.75">
      <c r="A5" s="1476"/>
      <c r="B5" s="230" t="s">
        <v>106</v>
      </c>
      <c r="C5" s="230" t="s">
        <v>107</v>
      </c>
      <c r="D5" s="230" t="s">
        <v>108</v>
      </c>
      <c r="E5" s="230" t="s">
        <v>106</v>
      </c>
      <c r="F5" s="230" t="s">
        <v>107</v>
      </c>
      <c r="G5" s="230" t="s">
        <v>108</v>
      </c>
      <c r="H5" s="1467" t="s">
        <v>447</v>
      </c>
      <c r="I5" s="1467"/>
      <c r="J5" s="1479"/>
    </row>
    <row r="6" spans="1:10" ht="12.75">
      <c r="A6" s="231"/>
      <c r="B6" s="232" t="s">
        <v>109</v>
      </c>
      <c r="C6" s="232" t="s">
        <v>140</v>
      </c>
      <c r="D6" s="234" t="s">
        <v>141</v>
      </c>
      <c r="E6" s="232" t="s">
        <v>109</v>
      </c>
      <c r="F6" s="232" t="s">
        <v>140</v>
      </c>
      <c r="G6" s="230" t="s">
        <v>141</v>
      </c>
      <c r="H6" s="232" t="s">
        <v>106</v>
      </c>
      <c r="I6" s="232" t="s">
        <v>107</v>
      </c>
      <c r="J6" s="235" t="s">
        <v>108</v>
      </c>
    </row>
    <row r="7" spans="1:10" ht="12.75">
      <c r="A7" s="18" t="s">
        <v>13</v>
      </c>
      <c r="B7" s="19">
        <f>'12.Exportações'!D13</f>
        <v>2803344.241</v>
      </c>
      <c r="C7" s="19">
        <v>1125339.879</v>
      </c>
      <c r="D7" s="23">
        <f aca="true" t="shared" si="0" ref="D7:D12">(B7*1000)/C7</f>
        <v>2491.1089470064003</v>
      </c>
      <c r="E7" s="19">
        <f>'12.Exportações'!G13</f>
        <v>3685631</v>
      </c>
      <c r="F7" s="19">
        <v>1265961.058</v>
      </c>
      <c r="G7" s="23">
        <f aca="true" t="shared" si="1" ref="G7:G12">(E7*1000)/F7</f>
        <v>2911.33046842899</v>
      </c>
      <c r="H7" s="840">
        <f aca="true" t="shared" si="2" ref="H7:J12">SUM(B7-E7)*100/E7</f>
        <v>-23.938553778172587</v>
      </c>
      <c r="I7" s="840">
        <f t="shared" si="2"/>
        <v>-11.107859764830144</v>
      </c>
      <c r="J7" s="841">
        <f t="shared" si="2"/>
        <v>-14.434002803170245</v>
      </c>
    </row>
    <row r="8" spans="1:10" ht="12.75">
      <c r="A8" s="18" t="s">
        <v>112</v>
      </c>
      <c r="B8" s="19">
        <f>'12.Exportações'!D14</f>
        <v>354084.903</v>
      </c>
      <c r="C8" s="19">
        <v>53995.201</v>
      </c>
      <c r="D8" s="23">
        <f t="shared" si="0"/>
        <v>6557.71061950487</v>
      </c>
      <c r="E8" s="19">
        <f>'12.Exportações'!G14</f>
        <v>380808.065</v>
      </c>
      <c r="F8" s="19">
        <v>52093.342</v>
      </c>
      <c r="G8" s="23">
        <f t="shared" si="1"/>
        <v>7310.110090460313</v>
      </c>
      <c r="H8" s="840">
        <f t="shared" si="2"/>
        <v>-7.01748845576577</v>
      </c>
      <c r="I8" s="840">
        <f t="shared" si="2"/>
        <v>3.6508677058960894</v>
      </c>
      <c r="J8" s="841">
        <f t="shared" si="2"/>
        <v>-10.292587411745322</v>
      </c>
    </row>
    <row r="9" spans="1:10" ht="12.75">
      <c r="A9" s="18" t="s">
        <v>113</v>
      </c>
      <c r="B9" s="19">
        <f>'12.Exportações'!D15</f>
        <v>6802.678</v>
      </c>
      <c r="C9" s="490">
        <v>1205.313</v>
      </c>
      <c r="D9" s="23">
        <f t="shared" si="0"/>
        <v>5643.9099221530005</v>
      </c>
      <c r="E9" s="19">
        <f>'12.Exportações'!G15</f>
        <v>6949.887</v>
      </c>
      <c r="F9" s="19">
        <v>1114.399</v>
      </c>
      <c r="G9" s="23">
        <f t="shared" si="1"/>
        <v>6236.444038445836</v>
      </c>
      <c r="H9" s="840">
        <f t="shared" si="2"/>
        <v>-2.118149546891911</v>
      </c>
      <c r="I9" s="840">
        <f t="shared" si="2"/>
        <v>8.158119309152308</v>
      </c>
      <c r="J9" s="841">
        <f t="shared" si="2"/>
        <v>-9.501153423971054</v>
      </c>
    </row>
    <row r="10" spans="1:10" ht="12.75">
      <c r="A10" s="20" t="s">
        <v>114</v>
      </c>
      <c r="B10" s="19">
        <f>'12.Exportações'!D16</f>
        <v>28392.44</v>
      </c>
      <c r="C10" s="490">
        <v>5455.61</v>
      </c>
      <c r="D10" s="23">
        <f t="shared" si="0"/>
        <v>5204.2649676204865</v>
      </c>
      <c r="E10" s="19">
        <f>'12.Exportações'!G16</f>
        <v>27829.876</v>
      </c>
      <c r="F10" s="19">
        <v>4749.099</v>
      </c>
      <c r="G10" s="23">
        <f t="shared" si="1"/>
        <v>5860.032818856797</v>
      </c>
      <c r="H10" s="840">
        <f t="shared" si="2"/>
        <v>2.0214391181620734</v>
      </c>
      <c r="I10" s="842">
        <f t="shared" si="2"/>
        <v>14.876737671714139</v>
      </c>
      <c r="J10" s="843">
        <f t="shared" si="2"/>
        <v>-11.19051499380922</v>
      </c>
    </row>
    <row r="11" spans="1:11" ht="12.75">
      <c r="A11" s="20" t="s">
        <v>275</v>
      </c>
      <c r="B11" s="490">
        <f>'12.Exportações'!D17</f>
        <v>24.944</v>
      </c>
      <c r="C11" s="490">
        <v>3.928</v>
      </c>
      <c r="D11" s="722">
        <f t="shared" si="0"/>
        <v>6350.30549898167</v>
      </c>
      <c r="E11" s="490">
        <v>30.142</v>
      </c>
      <c r="F11" s="490">
        <v>1.76</v>
      </c>
      <c r="G11" s="23">
        <f t="shared" si="1"/>
        <v>17126.136363636364</v>
      </c>
      <c r="H11" s="840">
        <f t="shared" si="2"/>
        <v>-17.245040143321614</v>
      </c>
      <c r="I11" s="840">
        <f t="shared" si="2"/>
        <v>123.18181818181819</v>
      </c>
      <c r="J11" s="843">
        <f t="shared" si="2"/>
        <v>-62.92038458560235</v>
      </c>
      <c r="K11" s="4"/>
    </row>
    <row r="12" spans="1:10" ht="12.75">
      <c r="A12" s="236" t="s">
        <v>115</v>
      </c>
      <c r="B12" s="237">
        <f>SUM(B7:B11)</f>
        <v>3192649.206</v>
      </c>
      <c r="C12" s="237">
        <f>SUM(C7:C11)</f>
        <v>1185999.9310000003</v>
      </c>
      <c r="D12" s="852">
        <f t="shared" si="0"/>
        <v>2691.947210577029</v>
      </c>
      <c r="E12" s="237">
        <f>SUM(E7:E11)</f>
        <v>4101248.97</v>
      </c>
      <c r="F12" s="237">
        <f>SUM(F7:F11)</f>
        <v>1323919.6579999998</v>
      </c>
      <c r="G12" s="852">
        <f t="shared" si="1"/>
        <v>3097.8080468988705</v>
      </c>
      <c r="H12" s="844">
        <f>SUM(B12-E12)*100/E12</f>
        <v>-22.154221083534956</v>
      </c>
      <c r="I12" s="845">
        <f t="shared" si="2"/>
        <v>-10.417529958604142</v>
      </c>
      <c r="J12" s="846">
        <f t="shared" si="2"/>
        <v>-13.101548907400423</v>
      </c>
    </row>
    <row r="13" spans="1:10" ht="12.75">
      <c r="A13" s="238" t="s">
        <v>116</v>
      </c>
      <c r="B13" s="829"/>
      <c r="C13" s="829"/>
      <c r="D13" s="830"/>
      <c r="E13" s="829"/>
      <c r="F13" s="829"/>
      <c r="G13" s="830"/>
      <c r="H13" s="831"/>
      <c r="I13" s="832"/>
      <c r="J13" s="831"/>
    </row>
    <row r="14" spans="1:10" ht="12.75">
      <c r="A14" s="233" t="s">
        <v>320</v>
      </c>
      <c r="B14" s="6"/>
      <c r="C14" s="6"/>
      <c r="D14" s="6"/>
      <c r="E14" s="6"/>
      <c r="F14" s="6"/>
      <c r="G14" s="21"/>
      <c r="H14" s="6"/>
      <c r="I14" s="6"/>
      <c r="J14" s="6"/>
    </row>
    <row r="15" spans="1:10" ht="12.75">
      <c r="A15" s="22" t="s">
        <v>142</v>
      </c>
      <c r="B15" s="6"/>
      <c r="C15" s="6"/>
      <c r="D15" s="6"/>
      <c r="E15" s="6"/>
      <c r="F15" s="6"/>
      <c r="G15" s="21"/>
      <c r="H15" s="6"/>
      <c r="I15" s="6"/>
      <c r="J15" s="6"/>
    </row>
    <row r="16" spans="1:10" ht="12.75">
      <c r="A16" s="22" t="s">
        <v>143</v>
      </c>
      <c r="B16" s="6"/>
      <c r="C16" s="6"/>
      <c r="D16" s="6"/>
      <c r="E16" s="6"/>
      <c r="F16" s="6"/>
      <c r="G16" s="21"/>
      <c r="H16" s="6"/>
      <c r="I16" s="6"/>
      <c r="J16" s="6"/>
    </row>
    <row r="17" spans="1:10" ht="12.75">
      <c r="A17" s="22" t="s">
        <v>144</v>
      </c>
      <c r="B17" s="6"/>
      <c r="C17" s="6"/>
      <c r="D17" s="6"/>
      <c r="E17" s="6"/>
      <c r="F17" s="6"/>
      <c r="G17" s="21"/>
      <c r="H17" s="6"/>
      <c r="I17" s="6"/>
      <c r="J17" s="6"/>
    </row>
    <row r="18" spans="1:10" ht="12.75">
      <c r="A18" s="22" t="s">
        <v>352</v>
      </c>
      <c r="B18" s="6"/>
      <c r="C18" s="6"/>
      <c r="D18" s="6"/>
      <c r="E18" s="6"/>
      <c r="F18" s="6"/>
      <c r="G18" s="21"/>
      <c r="H18" s="6"/>
      <c r="I18" s="6"/>
      <c r="J18" s="6"/>
    </row>
    <row r="19" spans="1:10" ht="12.75">
      <c r="A19" s="22"/>
      <c r="B19" s="6"/>
      <c r="C19" s="6"/>
      <c r="D19" s="6"/>
      <c r="E19" s="6"/>
      <c r="F19" s="6"/>
      <c r="G19" s="21"/>
      <c r="H19" s="6"/>
      <c r="I19" s="6"/>
      <c r="J19" s="6"/>
    </row>
    <row r="20" spans="1:10" ht="12.75">
      <c r="A20" s="1460" t="s">
        <v>145</v>
      </c>
      <c r="B20" s="1460"/>
      <c r="C20" s="1460"/>
      <c r="D20" s="1460"/>
      <c r="E20" s="1460"/>
      <c r="F20" s="1460"/>
      <c r="G20" s="1460"/>
      <c r="H20" s="1460"/>
      <c r="I20" s="1460"/>
      <c r="J20" s="1460"/>
    </row>
    <row r="21" spans="1:10" ht="12.75">
      <c r="A21" s="1460" t="s">
        <v>321</v>
      </c>
      <c r="B21" s="1460"/>
      <c r="C21" s="1460"/>
      <c r="D21" s="1460"/>
      <c r="E21" s="1460"/>
      <c r="F21" s="1460"/>
      <c r="G21" s="1460"/>
      <c r="H21" s="1460"/>
      <c r="I21" s="1460"/>
      <c r="J21" s="1460"/>
    </row>
    <row r="22" spans="1:10" ht="12.75">
      <c r="A22" s="239"/>
      <c r="B22" s="239"/>
      <c r="C22" s="239"/>
      <c r="D22" s="239"/>
      <c r="E22" s="239"/>
      <c r="F22" s="239"/>
      <c r="G22" s="240"/>
      <c r="H22" s="239"/>
      <c r="I22" s="239"/>
      <c r="J22" s="239"/>
    </row>
    <row r="23" spans="1:10" ht="12.75">
      <c r="A23" s="1473" t="s">
        <v>146</v>
      </c>
      <c r="B23" s="1474"/>
      <c r="C23" s="1474"/>
      <c r="D23" s="239"/>
      <c r="E23" s="239"/>
      <c r="F23" s="239"/>
      <c r="G23" s="240"/>
      <c r="H23" s="239"/>
      <c r="I23" s="239"/>
      <c r="J23" s="239"/>
    </row>
    <row r="24" spans="1:10" ht="12.75">
      <c r="A24" s="6"/>
      <c r="B24" s="6"/>
      <c r="C24" s="6"/>
      <c r="D24" s="6"/>
      <c r="E24" s="6"/>
      <c r="F24" s="6"/>
      <c r="G24" s="21"/>
      <c r="H24" s="6"/>
      <c r="I24" s="6"/>
      <c r="J24" s="6"/>
    </row>
    <row r="25" spans="1:10" ht="12.75">
      <c r="A25" s="1462" t="s">
        <v>147</v>
      </c>
      <c r="B25" s="1466" t="str">
        <f>B4</f>
        <v>Jan a Ago/2016</v>
      </c>
      <c r="C25" s="1467"/>
      <c r="D25" s="1467"/>
      <c r="E25" s="1466" t="str">
        <f>E4</f>
        <v>Jan a Ago/2015</v>
      </c>
      <c r="F25" s="1467"/>
      <c r="G25" s="1467"/>
      <c r="H25" s="1468" t="s">
        <v>105</v>
      </c>
      <c r="I25" s="1468"/>
      <c r="J25" s="1469"/>
    </row>
    <row r="26" spans="1:10" ht="12.75">
      <c r="A26" s="1463"/>
      <c r="B26" s="241" t="s">
        <v>106</v>
      </c>
      <c r="C26" s="232" t="s">
        <v>148</v>
      </c>
      <c r="D26" s="234" t="s">
        <v>108</v>
      </c>
      <c r="E26" s="232" t="s">
        <v>106</v>
      </c>
      <c r="F26" s="232" t="s">
        <v>148</v>
      </c>
      <c r="G26" s="230" t="s">
        <v>108</v>
      </c>
      <c r="H26" s="1468" t="str">
        <f>H5</f>
        <v>(16/15)</v>
      </c>
      <c r="I26" s="1468"/>
      <c r="J26" s="1469"/>
    </row>
    <row r="27" spans="1:10" ht="12.75">
      <c r="A27" s="242"/>
      <c r="B27" s="243" t="s">
        <v>149</v>
      </c>
      <c r="C27" s="244" t="s">
        <v>140</v>
      </c>
      <c r="D27" s="245" t="s">
        <v>141</v>
      </c>
      <c r="E27" s="243" t="s">
        <v>149</v>
      </c>
      <c r="F27" s="244" t="s">
        <v>140</v>
      </c>
      <c r="G27" s="246" t="s">
        <v>141</v>
      </c>
      <c r="H27" s="244" t="s">
        <v>106</v>
      </c>
      <c r="I27" s="244" t="s">
        <v>107</v>
      </c>
      <c r="J27" s="247" t="s">
        <v>108</v>
      </c>
    </row>
    <row r="28" spans="1:10" ht="12.75">
      <c r="A28" s="524" t="s">
        <v>322</v>
      </c>
      <c r="B28" s="490">
        <v>1474615.11</v>
      </c>
      <c r="C28" s="490">
        <v>595447.435</v>
      </c>
      <c r="D28" s="722">
        <f>(B28*1000)/C28</f>
        <v>2476.4824287134597</v>
      </c>
      <c r="E28" s="490">
        <v>1943133.804</v>
      </c>
      <c r="F28" s="490">
        <v>659909.689</v>
      </c>
      <c r="G28" s="722">
        <f>(E28*1000)/F28</f>
        <v>2944.5450436476317</v>
      </c>
      <c r="H28" s="842">
        <f>SUM(B28-E28)*100/E28</f>
        <v>-24.11149932318299</v>
      </c>
      <c r="I28" s="842">
        <f>SUM(C28-F28)*100/F28</f>
        <v>-9.768344831803182</v>
      </c>
      <c r="J28" s="843">
        <f>SUM(D28-G28)*100/G28</f>
        <v>-15.895923071169841</v>
      </c>
    </row>
    <row r="29" spans="1:10" ht="12.75">
      <c r="A29" s="524" t="s">
        <v>280</v>
      </c>
      <c r="B29" s="1229">
        <v>547901.378</v>
      </c>
      <c r="C29" s="1229">
        <v>221610.277</v>
      </c>
      <c r="D29" s="23">
        <f>(B29*1000)/C29</f>
        <v>2472.364483349299</v>
      </c>
      <c r="E29" s="1229">
        <v>782000.375</v>
      </c>
      <c r="F29" s="1229">
        <v>279297.92</v>
      </c>
      <c r="G29" s="23">
        <f>(E29*1000)/F29</f>
        <v>2799.878978690568</v>
      </c>
      <c r="H29" s="840">
        <f>SUM(B29-E29)*100/E29</f>
        <v>-29.935918764744834</v>
      </c>
      <c r="I29" s="840">
        <f>SUM(C29-F29)*100/F29</f>
        <v>-20.6545193748668</v>
      </c>
      <c r="J29" s="841">
        <f>SUM(D29-G29)*100/G29</f>
        <v>-11.697451848238073</v>
      </c>
    </row>
    <row r="30" spans="1:10" ht="12.75">
      <c r="A30" s="524" t="s">
        <v>281</v>
      </c>
      <c r="B30" s="1229">
        <v>246121.562</v>
      </c>
      <c r="C30" s="1229">
        <v>83929.342</v>
      </c>
      <c r="D30" s="23">
        <f>(B30*1000)/C30</f>
        <v>2932.485304126416</v>
      </c>
      <c r="E30" s="1229">
        <v>288394.126</v>
      </c>
      <c r="F30" s="1229">
        <v>82307.322</v>
      </c>
      <c r="G30" s="23">
        <f>(E30*1000)/F30</f>
        <v>3503.8696314284166</v>
      </c>
      <c r="H30" s="840">
        <f>SUM(B30-E30)*100/E30</f>
        <v>-14.657914357104481</v>
      </c>
      <c r="I30" s="840">
        <f>SUM(C30-F30)*100/F30</f>
        <v>1.9706873709243073</v>
      </c>
      <c r="J30" s="841">
        <f>SUM(D30-G30)*100/G30</f>
        <v>-16.30723706661042</v>
      </c>
    </row>
    <row r="31" spans="1:10" ht="12.75">
      <c r="A31" s="524" t="s">
        <v>282</v>
      </c>
      <c r="B31" s="1229">
        <v>73603.325</v>
      </c>
      <c r="C31" s="1229">
        <v>28858.622</v>
      </c>
      <c r="D31" s="23">
        <f>(B31*1000)/C31</f>
        <v>2550.4795412615335</v>
      </c>
      <c r="E31" s="1229">
        <v>98040.225</v>
      </c>
      <c r="F31" s="1229">
        <v>27243.653</v>
      </c>
      <c r="G31" s="23">
        <f>(E31*1000)/F31</f>
        <v>3598.6446090764703</v>
      </c>
      <c r="H31" s="840">
        <f aca="true" t="shared" si="3" ref="H31:J33">SUM(B31-E31)*100/E31</f>
        <v>-24.925381393198563</v>
      </c>
      <c r="I31" s="840">
        <f t="shared" si="3"/>
        <v>5.927872447942282</v>
      </c>
      <c r="J31" s="841">
        <f t="shared" si="3"/>
        <v>-29.126662443167184</v>
      </c>
    </row>
    <row r="32" spans="1:10" ht="12.75">
      <c r="A32" s="524" t="s">
        <v>283</v>
      </c>
      <c r="B32" s="1229">
        <v>57510.18</v>
      </c>
      <c r="C32" s="1229">
        <v>25426.727</v>
      </c>
      <c r="D32" s="23">
        <f>(B32*1000)/C32</f>
        <v>2261.8003489005882</v>
      </c>
      <c r="E32" s="1229">
        <v>75405.531</v>
      </c>
      <c r="F32" s="1229">
        <v>30545.104</v>
      </c>
      <c r="G32" s="23">
        <f>(E32*1000)/F32</f>
        <v>2468.6617861900227</v>
      </c>
      <c r="H32" s="840">
        <f t="shared" si="3"/>
        <v>-23.732146385919624</v>
      </c>
      <c r="I32" s="840">
        <f t="shared" si="3"/>
        <v>-16.756783673088822</v>
      </c>
      <c r="J32" s="841">
        <f t="shared" si="3"/>
        <v>-8.37949687748403</v>
      </c>
    </row>
    <row r="33" spans="1:10" ht="12.75">
      <c r="A33" s="524" t="s">
        <v>323</v>
      </c>
      <c r="B33" s="1229">
        <v>45907.255</v>
      </c>
      <c r="C33" s="1229">
        <v>17780.119</v>
      </c>
      <c r="D33" s="23">
        <f>(B33*1000)/C33</f>
        <v>2581.9430679850907</v>
      </c>
      <c r="E33" s="1229">
        <v>45292.273</v>
      </c>
      <c r="F33" s="1229">
        <v>15640.43</v>
      </c>
      <c r="G33" s="23">
        <f>(E33*1000)/F33</f>
        <v>2895.8457663887757</v>
      </c>
      <c r="H33" s="840">
        <f t="shared" si="3"/>
        <v>1.3578077655762526</v>
      </c>
      <c r="I33" s="840">
        <f>SUM(C33-F33)*100/F33</f>
        <v>13.680499832805099</v>
      </c>
      <c r="J33" s="841">
        <f>SUM(D33-G33)*100/G33</f>
        <v>-10.839758872763896</v>
      </c>
    </row>
    <row r="34" spans="1:10" ht="12.75">
      <c r="A34" s="524" t="s">
        <v>324</v>
      </c>
      <c r="B34" s="1229">
        <v>41575.905</v>
      </c>
      <c r="C34" s="1229">
        <v>16974.98</v>
      </c>
      <c r="D34" s="23">
        <f aca="true" t="shared" si="4" ref="D34:D40">(B34*1000)/C34</f>
        <v>2449.246184678863</v>
      </c>
      <c r="E34" s="1229">
        <v>44312.105</v>
      </c>
      <c r="F34" s="1229">
        <v>15642.634</v>
      </c>
      <c r="G34" s="23">
        <f aca="true" t="shared" si="5" ref="G34:G40">(E34*1000)/F34</f>
        <v>2832.777715057451</v>
      </c>
      <c r="H34" s="840">
        <f aca="true" t="shared" si="6" ref="H34:J35">SUM(B34-E34)*100/E34</f>
        <v>-6.174836424493949</v>
      </c>
      <c r="I34" s="840">
        <f t="shared" si="6"/>
        <v>8.517401864673172</v>
      </c>
      <c r="J34" s="841">
        <f t="shared" si="6"/>
        <v>-13.539061972280798</v>
      </c>
    </row>
    <row r="35" spans="1:10" ht="12.75">
      <c r="A35" s="524" t="s">
        <v>293</v>
      </c>
      <c r="B35" s="1229">
        <v>31497.202</v>
      </c>
      <c r="C35" s="1229">
        <v>15008.287</v>
      </c>
      <c r="D35" s="23">
        <f t="shared" si="4"/>
        <v>2098.654030270077</v>
      </c>
      <c r="E35" s="1229">
        <v>54259.199</v>
      </c>
      <c r="F35" s="1229">
        <v>25178.37</v>
      </c>
      <c r="G35" s="23">
        <f t="shared" si="5"/>
        <v>2154.992519372779</v>
      </c>
      <c r="H35" s="840">
        <f t="shared" si="6"/>
        <v>-41.95048474637452</v>
      </c>
      <c r="I35" s="840">
        <f t="shared" si="6"/>
        <v>-40.39214214422935</v>
      </c>
      <c r="J35" s="841">
        <f t="shared" si="6"/>
        <v>-2.6143241146423915</v>
      </c>
    </row>
    <row r="36" spans="1:10" ht="12.75">
      <c r="A36" s="524" t="s">
        <v>286</v>
      </c>
      <c r="B36" s="1229">
        <v>35356.663</v>
      </c>
      <c r="C36" s="1229">
        <v>16726.978</v>
      </c>
      <c r="D36" s="23">
        <f>(B36*1000)/C36</f>
        <v>2113.7507922829814</v>
      </c>
      <c r="E36" s="1229">
        <v>46847.553</v>
      </c>
      <c r="F36" s="1229">
        <v>19603.26</v>
      </c>
      <c r="G36" s="23">
        <f>(E36*1000)/F36</f>
        <v>2389.7837910633234</v>
      </c>
      <c r="H36" s="840">
        <f aca="true" t="shared" si="7" ref="H36:J37">SUM(B36-E36)*100/E36</f>
        <v>-24.52826084640963</v>
      </c>
      <c r="I36" s="840">
        <f t="shared" si="7"/>
        <v>-14.672467742610156</v>
      </c>
      <c r="J36" s="841">
        <f t="shared" si="7"/>
        <v>-11.55054276510606</v>
      </c>
    </row>
    <row r="37" spans="1:10" ht="12.75">
      <c r="A37" s="524" t="s">
        <v>453</v>
      </c>
      <c r="B37" s="1229">
        <v>29237.823</v>
      </c>
      <c r="C37" s="1229">
        <v>13741.6</v>
      </c>
      <c r="D37" s="23">
        <f>(B37*1000)/C37</f>
        <v>2127.686950573441</v>
      </c>
      <c r="E37" s="1229">
        <v>39156.65</v>
      </c>
      <c r="F37" s="1229">
        <v>16191.895</v>
      </c>
      <c r="G37" s="23">
        <f>(E37*1000)/F37</f>
        <v>2418.287050403921</v>
      </c>
      <c r="H37" s="840">
        <f t="shared" si="7"/>
        <v>-25.331142985929596</v>
      </c>
      <c r="I37" s="840">
        <f t="shared" si="7"/>
        <v>-15.13284887284657</v>
      </c>
      <c r="J37" s="841">
        <f t="shared" si="7"/>
        <v>-12.016774426424753</v>
      </c>
    </row>
    <row r="38" spans="1:10" ht="12.75">
      <c r="A38" s="524" t="s">
        <v>495</v>
      </c>
      <c r="B38" s="1229">
        <v>23801.34</v>
      </c>
      <c r="C38" s="1229">
        <v>9396.4</v>
      </c>
      <c r="D38" s="23">
        <f t="shared" si="4"/>
        <v>2533.027542463071</v>
      </c>
      <c r="E38" s="1229">
        <v>28816.146</v>
      </c>
      <c r="F38" s="1229">
        <v>9410.8</v>
      </c>
      <c r="G38" s="23">
        <f t="shared" si="5"/>
        <v>3062.0293705104777</v>
      </c>
      <c r="H38" s="840">
        <f>SUM(B38-E38)*100/E38</f>
        <v>-17.402764408536797</v>
      </c>
      <c r="I38" s="840">
        <f>SUM(C38-F38)*100/F38</f>
        <v>-0.15301568410761718</v>
      </c>
      <c r="J38" s="841">
        <f>SUM(D38-G38)*100/G38</f>
        <v>-17.276183995557684</v>
      </c>
    </row>
    <row r="39" spans="1:10" ht="12.75">
      <c r="A39" s="723" t="s">
        <v>470</v>
      </c>
      <c r="B39" s="1229">
        <v>17195.803</v>
      </c>
      <c r="C39" s="1229">
        <v>8119.611</v>
      </c>
      <c r="D39" s="23">
        <f>(B39*1000)/C39</f>
        <v>2117.811185782176</v>
      </c>
      <c r="E39" s="1229">
        <v>17916.575</v>
      </c>
      <c r="F39" s="1229">
        <v>7827.92</v>
      </c>
      <c r="G39" s="23">
        <f>(E39*1000)/F39</f>
        <v>2288.804050118039</v>
      </c>
      <c r="H39" s="840">
        <f>SUM(B39-E39)*100/E39</f>
        <v>-4.0229340708254835</v>
      </c>
      <c r="I39" s="840">
        <f>SUM(C39-F39)*100/F39</f>
        <v>3.7262899978538333</v>
      </c>
      <c r="J39" s="841">
        <f>SUM(D39-G39)*100/G39</f>
        <v>-7.470838944340585</v>
      </c>
    </row>
    <row r="40" spans="1:10" ht="12.75">
      <c r="A40" s="524" t="s">
        <v>452</v>
      </c>
      <c r="B40" s="1229">
        <v>14718.257</v>
      </c>
      <c r="C40" s="1229">
        <v>7422.132</v>
      </c>
      <c r="D40" s="23">
        <f t="shared" si="4"/>
        <v>1983.022802612511</v>
      </c>
      <c r="E40" s="1229">
        <v>21649.335</v>
      </c>
      <c r="F40" s="1229">
        <v>9305.846</v>
      </c>
      <c r="G40" s="23">
        <f t="shared" si="5"/>
        <v>2326.4230893139647</v>
      </c>
      <c r="H40" s="840">
        <f>SUM(B40-E40)*100/E40</f>
        <v>-32.01520046689656</v>
      </c>
      <c r="I40" s="840">
        <f>SUM(C40-F40)*100/F40</f>
        <v>-20.242264916053845</v>
      </c>
      <c r="J40" s="841">
        <f>SUM(D40-G40)*100/G40</f>
        <v>-14.760869950045008</v>
      </c>
    </row>
    <row r="41" spans="1:10" ht="12.75">
      <c r="A41" s="524" t="s">
        <v>613</v>
      </c>
      <c r="B41" s="1229">
        <v>13273.839</v>
      </c>
      <c r="C41" s="1229">
        <v>5577</v>
      </c>
      <c r="D41" s="23">
        <f>(B41*1000)/C41</f>
        <v>2380.1038192576652</v>
      </c>
      <c r="E41" s="1229">
        <v>8171.188</v>
      </c>
      <c r="F41" s="1229">
        <v>3234.6</v>
      </c>
      <c r="G41" s="23">
        <f>(E41*1000)/F41</f>
        <v>2526.181908118469</v>
      </c>
      <c r="H41" s="840">
        <f aca="true" t="shared" si="8" ref="H41:J42">SUM(B41-E41)*100/E41</f>
        <v>62.44686819101457</v>
      </c>
      <c r="I41" s="840">
        <f t="shared" si="8"/>
        <v>72.4169912817659</v>
      </c>
      <c r="J41" s="841">
        <f t="shared" si="8"/>
        <v>-5.782564129342708</v>
      </c>
    </row>
    <row r="42" spans="1:10" ht="12.75">
      <c r="A42" s="524" t="s">
        <v>451</v>
      </c>
      <c r="B42" s="1229">
        <v>11638.036</v>
      </c>
      <c r="C42" s="1229">
        <v>4298.171</v>
      </c>
      <c r="D42" s="23">
        <f>(B42*1000)/C42</f>
        <v>2707.671705011271</v>
      </c>
      <c r="E42" s="1229">
        <v>11469.688</v>
      </c>
      <c r="F42" s="1229">
        <v>3249.825</v>
      </c>
      <c r="G42" s="23">
        <f>(E42*1000)/F42</f>
        <v>3529.324809797451</v>
      </c>
      <c r="H42" s="840">
        <f t="shared" si="8"/>
        <v>1.4677644239320193</v>
      </c>
      <c r="I42" s="840">
        <f t="shared" si="8"/>
        <v>32.25853699814607</v>
      </c>
      <c r="J42" s="841">
        <f t="shared" si="8"/>
        <v>-23.280744875202767</v>
      </c>
    </row>
    <row r="43" spans="1:10" ht="12.75">
      <c r="A43" s="248" t="s">
        <v>127</v>
      </c>
      <c r="B43" s="249">
        <f>SUM(B28:B42)</f>
        <v>2663953.6780000003</v>
      </c>
      <c r="C43" s="249">
        <f>SUM(C28:C42)</f>
        <v>1070317.6809999999</v>
      </c>
      <c r="D43" s="250">
        <f>(B43*1000)/C43</f>
        <v>2488.9373737254004</v>
      </c>
      <c r="E43" s="249">
        <f>SUM(E28:E42)</f>
        <v>3504864.7730000005</v>
      </c>
      <c r="F43" s="249">
        <f>SUM(F28:F42)</f>
        <v>1204589.2680000002</v>
      </c>
      <c r="G43" s="250">
        <f>(E43*1000)/F43</f>
        <v>2909.5932249331645</v>
      </c>
      <c r="H43" s="847">
        <f>SUM(B43-E43)*100/E43</f>
        <v>-23.992683012423885</v>
      </c>
      <c r="I43" s="847">
        <f>SUM(C43-F43)*100/F43</f>
        <v>-11.146669704515437</v>
      </c>
      <c r="J43" s="848">
        <f>SUM(D43-G43)*100/G43</f>
        <v>-14.457548484889218</v>
      </c>
    </row>
    <row r="44" spans="1:10" ht="12.75">
      <c r="A44" s="24" t="s">
        <v>150</v>
      </c>
      <c r="B44" s="25">
        <f>B45-B43</f>
        <v>139390.56299999962</v>
      </c>
      <c r="C44" s="25">
        <f>C45-C43</f>
        <v>55022.19800000009</v>
      </c>
      <c r="D44" s="23">
        <f>(B44*1000)/C44</f>
        <v>2533.351412097339</v>
      </c>
      <c r="E44" s="25">
        <f>E45-E43</f>
        <v>180766.2269999995</v>
      </c>
      <c r="F44" s="25">
        <f>F45-F43</f>
        <v>61371.789999999804</v>
      </c>
      <c r="G44" s="23">
        <f>(E44*1000)/F44</f>
        <v>2945.428624454331</v>
      </c>
      <c r="H44" s="840">
        <f>SUM(B44-E44)*100/E44</f>
        <v>-22.8890455295059</v>
      </c>
      <c r="I44" s="840">
        <f>SUM(C44-F44)*100/F44</f>
        <v>-10.346108529667676</v>
      </c>
      <c r="J44" s="841">
        <f>SUM(D44-G44)*100/G44</f>
        <v>-13.990398848430187</v>
      </c>
    </row>
    <row r="45" spans="1:10" ht="12.75">
      <c r="A45" s="251" t="s">
        <v>151</v>
      </c>
      <c r="B45" s="252">
        <f>B7</f>
        <v>2803344.241</v>
      </c>
      <c r="C45" s="229">
        <f>C7</f>
        <v>1125339.879</v>
      </c>
      <c r="D45" s="253">
        <f>(B45*1000)/C45</f>
        <v>2491.1089470064003</v>
      </c>
      <c r="E45" s="229">
        <f>E7</f>
        <v>3685631</v>
      </c>
      <c r="F45" s="229">
        <f>F7</f>
        <v>1265961.058</v>
      </c>
      <c r="G45" s="253">
        <f>(E45*1000)/F45</f>
        <v>2911.33046842899</v>
      </c>
      <c r="H45" s="844">
        <f>SUM(B45-E45)*100/E45</f>
        <v>-23.938553778172587</v>
      </c>
      <c r="I45" s="844">
        <f>SUM(C45-F45)*100/F45</f>
        <v>-11.107859764830144</v>
      </c>
      <c r="J45" s="849">
        <f>SUM(D45-G45)*100/G45</f>
        <v>-14.434002803170245</v>
      </c>
    </row>
    <row r="46" spans="1:10" ht="12.75">
      <c r="A46" s="238" t="s">
        <v>116</v>
      </c>
      <c r="B46" s="6"/>
      <c r="C46" s="6"/>
      <c r="D46" s="6"/>
      <c r="E46" s="6"/>
      <c r="F46" s="6"/>
      <c r="G46" s="21"/>
      <c r="H46" s="6"/>
      <c r="I46" s="6"/>
      <c r="J46" s="6"/>
    </row>
    <row r="47" spans="1:10" ht="12.75">
      <c r="A47" s="1460" t="s">
        <v>152</v>
      </c>
      <c r="B47" s="1460"/>
      <c r="C47" s="1460"/>
      <c r="D47" s="1460"/>
      <c r="E47" s="1460"/>
      <c r="F47" s="1460"/>
      <c r="G47" s="1460"/>
      <c r="H47" s="1460"/>
      <c r="I47" s="1460"/>
      <c r="J47" s="1460"/>
    </row>
    <row r="48" spans="1:10" ht="12.75">
      <c r="A48" s="1460" t="s">
        <v>321</v>
      </c>
      <c r="B48" s="1460"/>
      <c r="C48" s="1460"/>
      <c r="D48" s="1460"/>
      <c r="E48" s="1460"/>
      <c r="F48" s="1460"/>
      <c r="G48" s="1460"/>
      <c r="H48" s="1460"/>
      <c r="I48" s="1460"/>
      <c r="J48" s="1460"/>
    </row>
    <row r="49" spans="1:10" ht="12.75">
      <c r="A49" s="239"/>
      <c r="B49" s="239"/>
      <c r="C49" s="239"/>
      <c r="D49" s="239"/>
      <c r="E49" s="239"/>
      <c r="F49" s="239"/>
      <c r="G49" s="240"/>
      <c r="H49" s="239"/>
      <c r="I49" s="239"/>
      <c r="J49" s="239"/>
    </row>
    <row r="50" spans="1:10" ht="12.75">
      <c r="A50" s="1473" t="s">
        <v>153</v>
      </c>
      <c r="B50" s="1474"/>
      <c r="C50" s="1474"/>
      <c r="D50" s="239"/>
      <c r="E50" s="239"/>
      <c r="F50" s="239"/>
      <c r="G50" s="240"/>
      <c r="H50" s="239"/>
      <c r="I50" s="239"/>
      <c r="J50" s="239"/>
    </row>
    <row r="51" spans="1:10" ht="12.75">
      <c r="A51" s="6"/>
      <c r="B51" s="6"/>
      <c r="C51" s="6"/>
      <c r="D51" s="6"/>
      <c r="E51" s="6"/>
      <c r="F51" s="6"/>
      <c r="G51" s="21"/>
      <c r="H51" s="6"/>
      <c r="I51" s="6"/>
      <c r="J51" s="6"/>
    </row>
    <row r="52" spans="1:10" ht="12.75">
      <c r="A52" s="1462" t="s">
        <v>147</v>
      </c>
      <c r="B52" s="1466" t="str">
        <f>B4</f>
        <v>Jan a Ago/2016</v>
      </c>
      <c r="C52" s="1467"/>
      <c r="D52" s="1467"/>
      <c r="E52" s="1466" t="str">
        <f>E4</f>
        <v>Jan a Ago/2015</v>
      </c>
      <c r="F52" s="1467"/>
      <c r="G52" s="1467"/>
      <c r="H52" s="1468" t="s">
        <v>105</v>
      </c>
      <c r="I52" s="1468"/>
      <c r="J52" s="1469"/>
    </row>
    <row r="53" spans="1:10" ht="12.75">
      <c r="A53" s="1463"/>
      <c r="B53" s="241" t="s">
        <v>106</v>
      </c>
      <c r="C53" s="232" t="s">
        <v>148</v>
      </c>
      <c r="D53" s="234" t="s">
        <v>108</v>
      </c>
      <c r="E53" s="232" t="s">
        <v>106</v>
      </c>
      <c r="F53" s="232" t="s">
        <v>148</v>
      </c>
      <c r="G53" s="230" t="s">
        <v>108</v>
      </c>
      <c r="H53" s="1468" t="str">
        <f>H5</f>
        <v>(16/15)</v>
      </c>
      <c r="I53" s="1468"/>
      <c r="J53" s="1469"/>
    </row>
    <row r="54" spans="1:10" ht="12.75">
      <c r="A54" s="242"/>
      <c r="B54" s="241" t="s">
        <v>149</v>
      </c>
      <c r="C54" s="232" t="s">
        <v>140</v>
      </c>
      <c r="D54" s="234" t="s">
        <v>141</v>
      </c>
      <c r="E54" s="232" t="s">
        <v>149</v>
      </c>
      <c r="F54" s="232" t="s">
        <v>140</v>
      </c>
      <c r="G54" s="230" t="s">
        <v>141</v>
      </c>
      <c r="H54" s="232" t="s">
        <v>106</v>
      </c>
      <c r="I54" s="232" t="s">
        <v>107</v>
      </c>
      <c r="J54" s="235" t="s">
        <v>108</v>
      </c>
    </row>
    <row r="55" spans="1:10" ht="12.75">
      <c r="A55" s="524" t="s">
        <v>322</v>
      </c>
      <c r="B55" s="490">
        <v>60751.137</v>
      </c>
      <c r="C55" s="490">
        <v>8786.511</v>
      </c>
      <c r="D55" s="722">
        <f>(B55*1000)/C55</f>
        <v>6914.136566835232</v>
      </c>
      <c r="E55" s="490">
        <v>66092.535</v>
      </c>
      <c r="F55" s="490">
        <v>8877.306</v>
      </c>
      <c r="G55" s="722">
        <f>(E55*1000)/F55</f>
        <v>7445.11172646296</v>
      </c>
      <c r="H55" s="842">
        <f>SUM(B55-E55)*100/E55</f>
        <v>-8.081696367070805</v>
      </c>
      <c r="I55" s="842">
        <f>SUM(C55-F55)*100/F55</f>
        <v>-1.0227765044935937</v>
      </c>
      <c r="J55" s="843">
        <f>SUM(D55-G55)*100/G55</f>
        <v>-7.131862880451159</v>
      </c>
    </row>
    <row r="56" spans="1:10" ht="12.75">
      <c r="A56" s="524" t="s">
        <v>280</v>
      </c>
      <c r="B56" s="1229">
        <v>51638.519</v>
      </c>
      <c r="C56" s="1229">
        <v>8965.758</v>
      </c>
      <c r="D56" s="722">
        <f>(B56*1000)/C56</f>
        <v>5759.526299951438</v>
      </c>
      <c r="E56" s="1229">
        <v>61276.682</v>
      </c>
      <c r="F56" s="1229">
        <v>9380.47</v>
      </c>
      <c r="G56" s="722">
        <f>(E56*1000)/F56</f>
        <v>6532.367994354228</v>
      </c>
      <c r="H56" s="842">
        <f>SUM(B56-E56)*100/E56</f>
        <v>-15.728924421854304</v>
      </c>
      <c r="I56" s="842">
        <f>SUM(C56-F56)*100/F56</f>
        <v>-4.421015151692821</v>
      </c>
      <c r="J56" s="843">
        <f>SUM(D56-G56)*100/G56</f>
        <v>-11.8309577027923</v>
      </c>
    </row>
    <row r="57" spans="1:10" ht="12.75">
      <c r="A57" s="524" t="s">
        <v>281</v>
      </c>
      <c r="B57" s="1229">
        <v>27668.583</v>
      </c>
      <c r="C57" s="1229">
        <v>3901.301</v>
      </c>
      <c r="D57" s="23">
        <f>(B57*1000)/C57</f>
        <v>7092.142595508524</v>
      </c>
      <c r="E57" s="1229">
        <v>24829.544</v>
      </c>
      <c r="F57" s="1229">
        <v>3387.842</v>
      </c>
      <c r="G57" s="23">
        <f>(E57*1000)/F57</f>
        <v>7329.014753344459</v>
      </c>
      <c r="H57" s="840">
        <f>SUM(B57-E57)*100/E57</f>
        <v>11.434116550831527</v>
      </c>
      <c r="I57" s="840">
        <f>SUM(C57-F57)*100/F57</f>
        <v>15.15593112075474</v>
      </c>
      <c r="J57" s="841">
        <f>SUM(D57-G57)*100/G57</f>
        <v>-3.2319781827133367</v>
      </c>
    </row>
    <row r="58" spans="1:10" ht="12.75">
      <c r="A58" s="524" t="s">
        <v>285</v>
      </c>
      <c r="B58" s="1229">
        <v>16725.167</v>
      </c>
      <c r="C58" s="1229">
        <v>2926.08</v>
      </c>
      <c r="D58" s="23">
        <f>(B58*1000)/C58</f>
        <v>5715.895327537183</v>
      </c>
      <c r="E58" s="1229">
        <v>19966.198</v>
      </c>
      <c r="F58" s="1229">
        <v>3078.48</v>
      </c>
      <c r="G58" s="23">
        <f>(E58*1000)/F58</f>
        <v>6485.732569319924</v>
      </c>
      <c r="H58" s="840">
        <f>SUM(B58-E58)*100/E58</f>
        <v>-16.232589699851715</v>
      </c>
      <c r="I58" s="840">
        <f>SUM(C58-F58)*100/F58</f>
        <v>-4.950495049504953</v>
      </c>
      <c r="J58" s="841">
        <f>SUM(D58-G58)*100/G58</f>
        <v>-11.869703746718985</v>
      </c>
    </row>
    <row r="59" spans="1:10" ht="12.75">
      <c r="A59" s="524" t="s">
        <v>610</v>
      </c>
      <c r="B59" s="1229">
        <v>14180.487</v>
      </c>
      <c r="C59" s="1229">
        <v>2482.72</v>
      </c>
      <c r="D59" s="23">
        <f>(B59*1000)/C59</f>
        <v>5711.673889927177</v>
      </c>
      <c r="E59" s="1229">
        <v>16988.296</v>
      </c>
      <c r="F59" s="1229">
        <v>2731.096</v>
      </c>
      <c r="G59" s="23">
        <f>(E59*1000)/F59</f>
        <v>6220.321804872476</v>
      </c>
      <c r="H59" s="840">
        <f>SUM(B59-E59)*100/E59</f>
        <v>-16.527902504171102</v>
      </c>
      <c r="I59" s="840">
        <f>SUM(C59-F59)*100/F59</f>
        <v>-9.094370904574582</v>
      </c>
      <c r="J59" s="841">
        <f>SUM(D59-G59)*100/G59</f>
        <v>-8.177196146779208</v>
      </c>
    </row>
    <row r="60" spans="1:10" ht="12.75">
      <c r="A60" s="524" t="s">
        <v>324</v>
      </c>
      <c r="B60" s="1229">
        <v>13609.77</v>
      </c>
      <c r="C60" s="1229">
        <v>1555.048</v>
      </c>
      <c r="D60" s="722">
        <f>(B60*1000)/C60</f>
        <v>8751.993507595907</v>
      </c>
      <c r="E60" s="1229">
        <v>16316.433</v>
      </c>
      <c r="F60" s="1229">
        <v>1922.445</v>
      </c>
      <c r="G60" s="722">
        <f>(E60*1000)/F60</f>
        <v>8487.334097984598</v>
      </c>
      <c r="H60" s="842">
        <f>SUM(B60-E60)*100/E60</f>
        <v>-16.588570553380144</v>
      </c>
      <c r="I60" s="842">
        <f>SUM(C60-F60)*100/F60</f>
        <v>-19.11092384957697</v>
      </c>
      <c r="J60" s="841">
        <f>SUM(D60-G60)*100/G60</f>
        <v>3.1182866911549465</v>
      </c>
    </row>
    <row r="61" spans="1:10" ht="12.75">
      <c r="A61" s="524" t="s">
        <v>287</v>
      </c>
      <c r="B61" s="1229">
        <v>10023.287</v>
      </c>
      <c r="C61" s="1229">
        <v>1857.446</v>
      </c>
      <c r="D61" s="23">
        <f>(B61*1000)/C61</f>
        <v>5396.273700554418</v>
      </c>
      <c r="E61" s="1229">
        <v>11283.833</v>
      </c>
      <c r="F61" s="1229">
        <v>1564.852</v>
      </c>
      <c r="G61" s="23">
        <f>(E61*1000)/F61</f>
        <v>7210.798848709015</v>
      </c>
      <c r="H61" s="840">
        <f aca="true" t="shared" si="9" ref="H61:I63">SUM(B61-E61)*100/E61</f>
        <v>-11.171257142852081</v>
      </c>
      <c r="I61" s="840">
        <f t="shared" si="9"/>
        <v>18.6978704695396</v>
      </c>
      <c r="J61" s="841">
        <f>SUM(D61-G61)*100/G61</f>
        <v>-25.16399619827782</v>
      </c>
    </row>
    <row r="62" spans="1:10" ht="12.75">
      <c r="A62" s="524" t="s">
        <v>497</v>
      </c>
      <c r="B62" s="1229">
        <v>9397.186</v>
      </c>
      <c r="C62" s="1229">
        <v>1174.835</v>
      </c>
      <c r="D62" s="23">
        <f>(B62*1000)/C62</f>
        <v>7998.728332063652</v>
      </c>
      <c r="E62" s="1229">
        <v>4113.891</v>
      </c>
      <c r="F62" s="1229">
        <v>403.185</v>
      </c>
      <c r="G62" s="23">
        <f>(E62*1000)/F62</f>
        <v>10203.482272405967</v>
      </c>
      <c r="H62" s="840">
        <f>SUM(B62-E62)*100/E62</f>
        <v>128.4257409834145</v>
      </c>
      <c r="I62" s="840">
        <f>SUM(C62-F62)*100/F62</f>
        <v>191.38856852313458</v>
      </c>
      <c r="J62" s="841">
        <f>SUM(D62-G62)*100/G62</f>
        <v>-21.607857802671884</v>
      </c>
    </row>
    <row r="63" spans="1:10" ht="12.75">
      <c r="A63" s="524" t="s">
        <v>282</v>
      </c>
      <c r="B63" s="1229">
        <v>9348.27</v>
      </c>
      <c r="C63" s="1229">
        <v>1357.33</v>
      </c>
      <c r="D63" s="23">
        <f>(B63*1000)/C63</f>
        <v>6887.249231948016</v>
      </c>
      <c r="E63" s="1229">
        <v>12164.578</v>
      </c>
      <c r="F63" s="1229">
        <v>1471.312</v>
      </c>
      <c r="G63" s="23">
        <f>(E63*1000)/F63</f>
        <v>8267.84393792751</v>
      </c>
      <c r="H63" s="840">
        <f t="shared" si="9"/>
        <v>-23.15171146915248</v>
      </c>
      <c r="I63" s="840">
        <f t="shared" si="9"/>
        <v>-7.746963254564632</v>
      </c>
      <c r="J63" s="841">
        <f>SUM(D63-G63)*100/G63</f>
        <v>-16.69836436614653</v>
      </c>
    </row>
    <row r="64" spans="1:10" ht="12.75">
      <c r="A64" s="524" t="s">
        <v>284</v>
      </c>
      <c r="B64" s="1229">
        <v>8859.588</v>
      </c>
      <c r="C64" s="1229">
        <v>1193.493</v>
      </c>
      <c r="D64" s="23">
        <f>(B60*1000)/C60</f>
        <v>8751.993507595907</v>
      </c>
      <c r="E64" s="1229">
        <v>9789.734</v>
      </c>
      <c r="F64" s="1229">
        <v>1138.778</v>
      </c>
      <c r="G64" s="23">
        <f>(E60*1000)/F60</f>
        <v>8487.334097984598</v>
      </c>
      <c r="H64" s="840">
        <f>SUM(B60-E60)*100/E60</f>
        <v>-16.588570553380144</v>
      </c>
      <c r="I64" s="840">
        <f>SUM(C60-F60)*100/F60</f>
        <v>-19.11092384957697</v>
      </c>
      <c r="J64" s="841">
        <f>SUM(D64-G64)*100/G64</f>
        <v>3.1182866911549465</v>
      </c>
    </row>
    <row r="65" spans="1:10" ht="12.75">
      <c r="A65" s="524" t="s">
        <v>496</v>
      </c>
      <c r="B65" s="1229">
        <v>7866.091</v>
      </c>
      <c r="C65" s="1229">
        <v>1347.085</v>
      </c>
      <c r="D65" s="23">
        <f>(B65*1000)/C65</f>
        <v>5839.342728929503</v>
      </c>
      <c r="E65" s="1229">
        <v>6405.824</v>
      </c>
      <c r="F65" s="1229">
        <v>932.697</v>
      </c>
      <c r="G65" s="23">
        <f>(E65*1000)/F65</f>
        <v>6868.065406021463</v>
      </c>
      <c r="H65" s="840">
        <f>SUM(B65-E65)*100/E65</f>
        <v>22.79592758090139</v>
      </c>
      <c r="I65" s="840">
        <f>SUM(C65-F65)*100/F65</f>
        <v>44.429005346859704</v>
      </c>
      <c r="J65" s="841">
        <f>SUM(D65-G65)*100/G65</f>
        <v>-14.978347122175686</v>
      </c>
    </row>
    <row r="66" spans="1:10" ht="12.75">
      <c r="A66" s="524" t="s">
        <v>292</v>
      </c>
      <c r="B66" s="1229">
        <v>5915.263</v>
      </c>
      <c r="C66" s="1229">
        <v>697.625</v>
      </c>
      <c r="D66" s="23">
        <f>(B66*1000)/C66</f>
        <v>8479.144239383622</v>
      </c>
      <c r="E66" s="1229">
        <v>7451.521</v>
      </c>
      <c r="F66" s="1229">
        <v>910.761</v>
      </c>
      <c r="G66" s="23">
        <f>(E66*1000)/F66</f>
        <v>8181.642604371509</v>
      </c>
      <c r="H66" s="840">
        <f>SUM(B66-E66)*100/E66</f>
        <v>-20.61670362332737</v>
      </c>
      <c r="I66" s="840">
        <f>SUM(C66-F66)*100/F66</f>
        <v>-23.401968244138693</v>
      </c>
      <c r="J66" s="841">
        <f>SUM(D66-G66)*100/G66</f>
        <v>3.6362091256975217</v>
      </c>
    </row>
    <row r="67" spans="1:10" ht="12.75">
      <c r="A67" s="524" t="s">
        <v>498</v>
      </c>
      <c r="B67" s="1229">
        <v>4835.786</v>
      </c>
      <c r="C67" s="1229">
        <v>760.9</v>
      </c>
      <c r="D67" s="23">
        <f>(B67*1000)/C67</f>
        <v>6355.350243133132</v>
      </c>
      <c r="E67" s="1229">
        <v>5235.062</v>
      </c>
      <c r="F67" s="1229">
        <v>736.498</v>
      </c>
      <c r="G67" s="23">
        <f>(E67*1000)/F67</f>
        <v>7108.046457695744</v>
      </c>
      <c r="H67" s="840">
        <f>SUM(B67-E67)*100/E67</f>
        <v>-7.626958381772744</v>
      </c>
      <c r="I67" s="840">
        <f>SUM(C67-F67)*100/F67</f>
        <v>3.3132472864827776</v>
      </c>
      <c r="J67" s="841">
        <f>SUM(D67-G67)*100/G67</f>
        <v>-10.589354178287378</v>
      </c>
    </row>
    <row r="68" spans="1:10" ht="12.75">
      <c r="A68" s="524" t="s">
        <v>499</v>
      </c>
      <c r="B68" s="1229">
        <v>4363.358</v>
      </c>
      <c r="C68" s="1229">
        <v>827.597</v>
      </c>
      <c r="D68" s="23">
        <f>(B68*1000)/C68</f>
        <v>5272.322156798538</v>
      </c>
      <c r="E68" s="1229">
        <v>7423.539</v>
      </c>
      <c r="F68" s="1229">
        <v>1190.57</v>
      </c>
      <c r="G68" s="23">
        <f>(E68*1000)/F68</f>
        <v>6235.2814198241185</v>
      </c>
      <c r="H68" s="840">
        <f>SUM(B68-E68)*100/E68</f>
        <v>-41.22267021160662</v>
      </c>
      <c r="I68" s="840">
        <f>SUM(C68-F68)*100/F68</f>
        <v>-30.487329598427642</v>
      </c>
      <c r="J68" s="841">
        <f>SUM(D68-G68)*100/G68</f>
        <v>-15.443717744062027</v>
      </c>
    </row>
    <row r="69" spans="1:10" ht="12.75">
      <c r="A69" s="524" t="s">
        <v>469</v>
      </c>
      <c r="B69" s="1229">
        <v>4219.017</v>
      </c>
      <c r="C69" s="1229">
        <v>568.964</v>
      </c>
      <c r="D69" s="23">
        <f>(B69*1000)/C69</f>
        <v>7415.261774031396</v>
      </c>
      <c r="E69" s="1229">
        <v>6922.201</v>
      </c>
      <c r="F69" s="1229">
        <v>697.423</v>
      </c>
      <c r="G69" s="23">
        <f>(E69*1000)/F69</f>
        <v>9925.398216003774</v>
      </c>
      <c r="H69" s="840">
        <f>SUM(B69-E69)*100/E69</f>
        <v>-39.05093192179771</v>
      </c>
      <c r="I69" s="840">
        <f>SUM(C69-F69)*100/F69</f>
        <v>-18.41909429428051</v>
      </c>
      <c r="J69" s="841">
        <f>SUM(D69-G69)*100/G69</f>
        <v>-25.290032574461527</v>
      </c>
    </row>
    <row r="70" spans="1:10" ht="12.75">
      <c r="A70" s="254" t="s">
        <v>127</v>
      </c>
      <c r="B70" s="249">
        <f>SUM(B55:B69)</f>
        <v>249401.50899999996</v>
      </c>
      <c r="C70" s="249">
        <f>SUM(C55:C69)</f>
        <v>38402.69300000001</v>
      </c>
      <c r="D70" s="250">
        <f>(B70*1000)/C70</f>
        <v>6494.375511634039</v>
      </c>
      <c r="E70" s="249">
        <f>SUM(E55:E69)</f>
        <v>276259.87100000004</v>
      </c>
      <c r="F70" s="249">
        <f>SUM(F55:F69)</f>
        <v>38423.715</v>
      </c>
      <c r="G70" s="250">
        <f>(E70*1000)/F70</f>
        <v>7189.827193960815</v>
      </c>
      <c r="H70" s="847">
        <f>SUM(B70-E70)*100/E70</f>
        <v>-9.722136589284109</v>
      </c>
      <c r="I70" s="847">
        <f>SUM(C70-F70)*100/F70</f>
        <v>-0.05471100334777606</v>
      </c>
      <c r="J70" s="848">
        <f>SUM(D70-G70)*100/G70</f>
        <v>-9.672717626800951</v>
      </c>
    </row>
    <row r="71" spans="1:10" ht="12.75">
      <c r="A71" s="24" t="s">
        <v>150</v>
      </c>
      <c r="B71" s="25">
        <f>B72-B70</f>
        <v>104683.39400000003</v>
      </c>
      <c r="C71" s="25">
        <f>C72-C70</f>
        <v>15592.507999999994</v>
      </c>
      <c r="D71" s="23">
        <f>(B71*1000)/C71</f>
        <v>6713.6982709901495</v>
      </c>
      <c r="E71" s="25">
        <f>E72-E70</f>
        <v>104548.19399999996</v>
      </c>
      <c r="F71" s="25">
        <f>F72-F70</f>
        <v>13669.627</v>
      </c>
      <c r="G71" s="23">
        <f>(E71*1000)/F71</f>
        <v>7648.211176501009</v>
      </c>
      <c r="H71" s="840">
        <f>SUM(B71-E71)*100/E71</f>
        <v>0.12931835053991453</v>
      </c>
      <c r="I71" s="840">
        <f>SUM(C71-F71)*100/F71</f>
        <v>14.066813966467365</v>
      </c>
      <c r="J71" s="841">
        <f>SUM(D71-G71)*100/G71</f>
        <v>-12.218712113783328</v>
      </c>
    </row>
    <row r="72" spans="1:10" ht="12.75">
      <c r="A72" s="251" t="s">
        <v>151</v>
      </c>
      <c r="B72" s="252">
        <f>B8</f>
        <v>354084.903</v>
      </c>
      <c r="C72" s="229">
        <f>C8</f>
        <v>53995.201</v>
      </c>
      <c r="D72" s="253">
        <f>(B72*1000)/C72</f>
        <v>6557.71061950487</v>
      </c>
      <c r="E72" s="229">
        <f>E8</f>
        <v>380808.065</v>
      </c>
      <c r="F72" s="229">
        <f>F8</f>
        <v>52093.342</v>
      </c>
      <c r="G72" s="253">
        <f>(E72*1000)/F72</f>
        <v>7310.110090460313</v>
      </c>
      <c r="H72" s="844">
        <f>SUM(B72-E72)*100/E72</f>
        <v>-7.01748845576577</v>
      </c>
      <c r="I72" s="844">
        <f>SUM(C72-F72)*100/F72</f>
        <v>3.6508677058960894</v>
      </c>
      <c r="J72" s="849">
        <f>SUM(D72-G72)*100/G72</f>
        <v>-10.292587411745322</v>
      </c>
    </row>
    <row r="73" spans="1:10" ht="12.75">
      <c r="A73" s="238" t="s">
        <v>116</v>
      </c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1459" t="s">
        <v>138</v>
      </c>
      <c r="B74" s="1459"/>
      <c r="C74" s="1459"/>
      <c r="D74" s="1459"/>
      <c r="E74" s="1459"/>
      <c r="F74" s="1459"/>
      <c r="G74" s="1459"/>
      <c r="H74" s="1459"/>
      <c r="I74" s="1459"/>
      <c r="J74" s="1459"/>
    </row>
    <row r="75" spans="1:10" ht="12.75">
      <c r="A75" s="1460" t="s">
        <v>321</v>
      </c>
      <c r="B75" s="1460"/>
      <c r="C75" s="1460"/>
      <c r="D75" s="1460"/>
      <c r="E75" s="1460"/>
      <c r="F75" s="1460"/>
      <c r="G75" s="1460"/>
      <c r="H75" s="1460"/>
      <c r="I75" s="1460"/>
      <c r="J75" s="1460"/>
    </row>
    <row r="76" spans="1:10" ht="12.75">
      <c r="A76" s="255"/>
      <c r="B76" s="255"/>
      <c r="C76" s="255"/>
      <c r="D76" s="255"/>
      <c r="E76" s="255"/>
      <c r="F76" s="255"/>
      <c r="G76" s="255"/>
      <c r="H76" s="255"/>
      <c r="I76" s="255"/>
      <c r="J76" s="255"/>
    </row>
    <row r="77" spans="1:10" ht="12.75">
      <c r="A77" s="1461" t="s">
        <v>154</v>
      </c>
      <c r="B77" s="1470"/>
      <c r="C77" s="1470"/>
      <c r="D77" s="26"/>
      <c r="E77" s="26"/>
      <c r="F77" s="26"/>
      <c r="G77" s="26"/>
      <c r="H77" s="26"/>
      <c r="I77" s="26"/>
      <c r="J77" s="26"/>
    </row>
    <row r="78" spans="1:10" ht="12.75">
      <c r="A78" s="6"/>
      <c r="B78" s="6"/>
      <c r="C78" s="6"/>
      <c r="D78" s="6"/>
      <c r="E78" s="6"/>
      <c r="F78" s="6"/>
      <c r="G78" s="21"/>
      <c r="H78" s="6"/>
      <c r="I78" s="6"/>
      <c r="J78" s="6"/>
    </row>
    <row r="79" spans="1:10" ht="12.75">
      <c r="A79" s="1462" t="s">
        <v>147</v>
      </c>
      <c r="B79" s="1464" t="str">
        <f>B4</f>
        <v>Jan a Ago/2016</v>
      </c>
      <c r="C79" s="1471"/>
      <c r="D79" s="1472"/>
      <c r="E79" s="1464" t="str">
        <f>E4</f>
        <v>Jan a Ago/2015</v>
      </c>
      <c r="F79" s="1471"/>
      <c r="G79" s="1472"/>
      <c r="H79" s="1468" t="s">
        <v>105</v>
      </c>
      <c r="I79" s="1468"/>
      <c r="J79" s="1469"/>
    </row>
    <row r="80" spans="1:10" ht="12.75">
      <c r="A80" s="1463"/>
      <c r="B80" s="241" t="s">
        <v>106</v>
      </c>
      <c r="C80" s="232" t="s">
        <v>148</v>
      </c>
      <c r="D80" s="234" t="s">
        <v>108</v>
      </c>
      <c r="E80" s="232" t="s">
        <v>106</v>
      </c>
      <c r="F80" s="232" t="s">
        <v>148</v>
      </c>
      <c r="G80" s="230" t="s">
        <v>108</v>
      </c>
      <c r="H80" s="1468" t="str">
        <f>H5</f>
        <v>(16/15)</v>
      </c>
      <c r="I80" s="1468"/>
      <c r="J80" s="1469"/>
    </row>
    <row r="81" spans="1:10" ht="12.75">
      <c r="A81" s="242"/>
      <c r="B81" s="241" t="s">
        <v>149</v>
      </c>
      <c r="C81" s="232" t="s">
        <v>140</v>
      </c>
      <c r="D81" s="234" t="s">
        <v>141</v>
      </c>
      <c r="E81" s="232" t="s">
        <v>149</v>
      </c>
      <c r="F81" s="232" t="s">
        <v>140</v>
      </c>
      <c r="G81" s="230" t="s">
        <v>141</v>
      </c>
      <c r="H81" s="232" t="s">
        <v>106</v>
      </c>
      <c r="I81" s="232" t="s">
        <v>107</v>
      </c>
      <c r="J81" s="235" t="s">
        <v>108</v>
      </c>
    </row>
    <row r="82" spans="1:10" ht="12.75">
      <c r="A82" s="524" t="s">
        <v>280</v>
      </c>
      <c r="B82" s="1229">
        <v>3214.243</v>
      </c>
      <c r="C82" s="1229">
        <v>452.087</v>
      </c>
      <c r="D82" s="23">
        <f>(B82*1000)/C82</f>
        <v>7109.7886026362185</v>
      </c>
      <c r="E82" s="1229">
        <v>2930.058</v>
      </c>
      <c r="F82" s="1229">
        <v>353.475</v>
      </c>
      <c r="G82" s="23">
        <f>(E82*1000)/F82</f>
        <v>8289.293443666455</v>
      </c>
      <c r="H82" s="840">
        <f aca="true" t="shared" si="10" ref="H82:J83">SUM(B82-E82)*100/E82</f>
        <v>9.698954764717966</v>
      </c>
      <c r="I82" s="840">
        <f t="shared" si="10"/>
        <v>27.89787113657259</v>
      </c>
      <c r="J82" s="841">
        <f t="shared" si="10"/>
        <v>-14.22925667966855</v>
      </c>
    </row>
    <row r="83" spans="1:10" ht="12.75">
      <c r="A83" s="524" t="s">
        <v>322</v>
      </c>
      <c r="B83" s="25">
        <v>1139.978</v>
      </c>
      <c r="C83" s="25">
        <v>304.122</v>
      </c>
      <c r="D83" s="722">
        <f>(B83*1000)/C83</f>
        <v>3748.423330110942</v>
      </c>
      <c r="E83" s="25">
        <v>1514.301</v>
      </c>
      <c r="F83" s="25">
        <v>330.516</v>
      </c>
      <c r="G83" s="722">
        <f>(E83*1000)/F83</f>
        <v>4581.6269106488035</v>
      </c>
      <c r="H83" s="842">
        <f t="shared" si="10"/>
        <v>-24.719193872288265</v>
      </c>
      <c r="I83" s="842">
        <f t="shared" si="10"/>
        <v>-7.9856950949424546</v>
      </c>
      <c r="J83" s="843">
        <f t="shared" si="10"/>
        <v>-18.185757958625913</v>
      </c>
    </row>
    <row r="84" spans="1:10" ht="12.75">
      <c r="A84" s="524" t="s">
        <v>281</v>
      </c>
      <c r="B84" s="1229">
        <v>526.521</v>
      </c>
      <c r="C84" s="1229">
        <v>107.002</v>
      </c>
      <c r="D84" s="23">
        <f>(B84*1000)/C84</f>
        <v>4920.665034298425</v>
      </c>
      <c r="E84" s="1229">
        <v>512.585</v>
      </c>
      <c r="F84" s="1229">
        <v>96.587</v>
      </c>
      <c r="G84" s="23">
        <f>(E84*1000)/F84</f>
        <v>5306.977129427356</v>
      </c>
      <c r="H84" s="840">
        <f aca="true" t="shared" si="11" ref="H84:J86">SUM(B84-E84)*100/E84</f>
        <v>2.718768594476998</v>
      </c>
      <c r="I84" s="840">
        <f t="shared" si="11"/>
        <v>10.783024630643865</v>
      </c>
      <c r="J84" s="841">
        <f t="shared" si="11"/>
        <v>-7.279324664634756</v>
      </c>
    </row>
    <row r="85" spans="1:10" ht="12.75">
      <c r="A85" s="524" t="s">
        <v>286</v>
      </c>
      <c r="B85" s="1229">
        <v>446.237</v>
      </c>
      <c r="C85" s="1229">
        <v>105.164</v>
      </c>
      <c r="D85" s="722">
        <f>(B85*1000)/C85</f>
        <v>4243.248640219086</v>
      </c>
      <c r="E85" s="1229">
        <v>496.77</v>
      </c>
      <c r="F85" s="1229">
        <v>102.426</v>
      </c>
      <c r="G85" s="23">
        <f>(E85*1000)/F85</f>
        <v>4850.038076269697</v>
      </c>
      <c r="H85" s="840">
        <f>SUM(B85-E85)*100/E85</f>
        <v>-10.172313142903146</v>
      </c>
      <c r="I85" s="840">
        <f>SUM(C85-F85)*100/F85</f>
        <v>2.6731493956612575</v>
      </c>
      <c r="J85" s="841">
        <f>SUM(D85-G85)*100/G85</f>
        <v>-12.511024171532068</v>
      </c>
    </row>
    <row r="86" spans="1:10" ht="12.75">
      <c r="A86" s="524" t="s">
        <v>289</v>
      </c>
      <c r="B86" s="1229">
        <v>402.585</v>
      </c>
      <c r="C86" s="1229">
        <v>61.967</v>
      </c>
      <c r="D86" s="23">
        <f>(B86*1000)/C86</f>
        <v>6496.764406861716</v>
      </c>
      <c r="E86" s="1229">
        <v>327.547</v>
      </c>
      <c r="F86" s="1229">
        <v>55.639</v>
      </c>
      <c r="G86" s="23">
        <f>(E86*1000)/F86</f>
        <v>5887.003720411941</v>
      </c>
      <c r="H86" s="840">
        <f t="shared" si="11"/>
        <v>22.909078697102995</v>
      </c>
      <c r="I86" s="840">
        <f t="shared" si="11"/>
        <v>11.373317277449264</v>
      </c>
      <c r="J86" s="841">
        <f t="shared" si="11"/>
        <v>10.357742502107811</v>
      </c>
    </row>
    <row r="87" spans="1:10" ht="12.75">
      <c r="A87" s="524" t="s">
        <v>288</v>
      </c>
      <c r="B87" s="1229">
        <v>320.808</v>
      </c>
      <c r="C87" s="1229">
        <v>54.061</v>
      </c>
      <c r="D87" s="23">
        <f>(B87*1000)/C87</f>
        <v>5934.185457168754</v>
      </c>
      <c r="E87" s="1229">
        <v>431.751</v>
      </c>
      <c r="F87" s="1229">
        <v>50.772</v>
      </c>
      <c r="G87" s="23">
        <f>(E87*1000)/F87</f>
        <v>8503.722524225952</v>
      </c>
      <c r="H87" s="840">
        <f>SUM(B87-E87)*100/E87</f>
        <v>-25.696060924004808</v>
      </c>
      <c r="I87" s="840">
        <f>SUM(C87-F87)*100/F87</f>
        <v>6.477979988970302</v>
      </c>
      <c r="J87" s="841">
        <f>SUM(D87-G87)*100/G87</f>
        <v>-30.216614661837045</v>
      </c>
    </row>
    <row r="88" spans="1:10" ht="12.75">
      <c r="A88" s="524" t="s">
        <v>471</v>
      </c>
      <c r="B88" s="1229">
        <v>271.092</v>
      </c>
      <c r="C88" s="1229">
        <v>31.217</v>
      </c>
      <c r="D88" s="23">
        <f>(B88*1000)/C88</f>
        <v>8684.114424832624</v>
      </c>
      <c r="E88" s="1229">
        <v>105.258</v>
      </c>
      <c r="F88" s="1229">
        <v>11.078</v>
      </c>
      <c r="G88" s="23">
        <v>0</v>
      </c>
      <c r="H88" s="840">
        <v>0</v>
      </c>
      <c r="I88" s="840">
        <v>0</v>
      </c>
      <c r="J88" s="841">
        <v>0</v>
      </c>
    </row>
    <row r="89" spans="1:10" ht="12.75">
      <c r="A89" s="524" t="s">
        <v>470</v>
      </c>
      <c r="B89" s="1229">
        <v>258.812</v>
      </c>
      <c r="C89" s="1229">
        <v>51.512</v>
      </c>
      <c r="D89" s="23">
        <f aca="true" t="shared" si="12" ref="D89:D99">(B89*1000)/C89</f>
        <v>5024.30501630688</v>
      </c>
      <c r="E89" s="1229">
        <v>260.022</v>
      </c>
      <c r="F89" s="1229">
        <v>45.894</v>
      </c>
      <c r="G89" s="23">
        <f>(E89*1000)/F89</f>
        <v>5665.707935677867</v>
      </c>
      <c r="H89" s="840">
        <f>SUM(B89-E89)*100/E89</f>
        <v>-0.4653452400181445</v>
      </c>
      <c r="I89" s="840">
        <f>SUM(C89-F89)*100/F89</f>
        <v>12.241251579727201</v>
      </c>
      <c r="J89" s="841">
        <f>SUM(D89-G89)*100/G89</f>
        <v>-11.320790387587227</v>
      </c>
    </row>
    <row r="90" spans="1:10" ht="12.75">
      <c r="A90" s="524" t="s">
        <v>469</v>
      </c>
      <c r="B90" s="1229">
        <v>40.879</v>
      </c>
      <c r="C90" s="1229">
        <v>5.639</v>
      </c>
      <c r="D90" s="23">
        <f>(B90*1000)/C90</f>
        <v>7249.334988473133</v>
      </c>
      <c r="E90" s="1229">
        <v>22.335</v>
      </c>
      <c r="F90" s="1229">
        <v>1.062</v>
      </c>
      <c r="G90" s="23">
        <f>(E90*1000)/F90</f>
        <v>21031.073446327682</v>
      </c>
      <c r="H90" s="840">
        <f aca="true" t="shared" si="13" ref="H90:J91">SUM(B90-E90)*100/E90</f>
        <v>83.02663980299975</v>
      </c>
      <c r="I90" s="840">
        <f t="shared" si="13"/>
        <v>430.97928436911485</v>
      </c>
      <c r="J90" s="841">
        <f t="shared" si="13"/>
        <v>-65.53036150544676</v>
      </c>
    </row>
    <row r="91" spans="1:10" ht="12.75">
      <c r="A91" s="524" t="s">
        <v>468</v>
      </c>
      <c r="B91" s="1229">
        <v>31.814</v>
      </c>
      <c r="C91" s="1229">
        <v>6.768</v>
      </c>
      <c r="D91" s="23">
        <f>(B91*1000)/C91</f>
        <v>4700.65011820331</v>
      </c>
      <c r="E91" s="1229">
        <v>120.831</v>
      </c>
      <c r="F91" s="1229">
        <v>30.202</v>
      </c>
      <c r="G91" s="23">
        <f>(E91*1000)/F91</f>
        <v>4000.761538970929</v>
      </c>
      <c r="H91" s="840">
        <f t="shared" si="13"/>
        <v>-73.67066398523556</v>
      </c>
      <c r="I91" s="840">
        <f t="shared" si="13"/>
        <v>-77.59088802066088</v>
      </c>
      <c r="J91" s="841">
        <f t="shared" si="13"/>
        <v>17.493883912221506</v>
      </c>
    </row>
    <row r="92" spans="1:11" ht="12.75">
      <c r="A92" s="524" t="s">
        <v>472</v>
      </c>
      <c r="B92" s="1229">
        <v>27.04</v>
      </c>
      <c r="C92" s="1229">
        <v>4.913</v>
      </c>
      <c r="D92" s="23">
        <f>(B92*1000)/C92</f>
        <v>5503.76552004885</v>
      </c>
      <c r="E92" s="1229">
        <v>6.437</v>
      </c>
      <c r="F92" s="1229">
        <v>1.258</v>
      </c>
      <c r="G92" s="23">
        <f>(E92*1000)/F92</f>
        <v>5116.852146263911</v>
      </c>
      <c r="H92" s="840">
        <v>0</v>
      </c>
      <c r="I92" s="840">
        <v>0</v>
      </c>
      <c r="J92" s="841">
        <v>0</v>
      </c>
      <c r="K92" s="834"/>
    </row>
    <row r="93" spans="1:10" ht="12.75">
      <c r="A93" s="524" t="s">
        <v>283</v>
      </c>
      <c r="B93" s="1229">
        <v>21.499</v>
      </c>
      <c r="C93" s="1229">
        <v>3.7</v>
      </c>
      <c r="D93" s="23">
        <f>(B93*1000)/C93</f>
        <v>5810.54054054054</v>
      </c>
      <c r="E93" s="1229">
        <v>7.735</v>
      </c>
      <c r="F93" s="1229">
        <v>1.2</v>
      </c>
      <c r="G93" s="23">
        <f>(E93*1000)/F93</f>
        <v>6445.833333333334</v>
      </c>
      <c r="H93" s="840">
        <v>0</v>
      </c>
      <c r="I93" s="840">
        <v>0</v>
      </c>
      <c r="J93" s="841">
        <v>0</v>
      </c>
    </row>
    <row r="94" spans="1:10" ht="12.75">
      <c r="A94" s="524" t="s">
        <v>287</v>
      </c>
      <c r="B94" s="1229">
        <v>12.366</v>
      </c>
      <c r="C94" s="1229">
        <v>0.915</v>
      </c>
      <c r="D94" s="23">
        <f t="shared" si="12"/>
        <v>13514.754098360656</v>
      </c>
      <c r="E94" s="1229">
        <v>10.973</v>
      </c>
      <c r="F94" s="1229">
        <v>0.95</v>
      </c>
      <c r="G94" s="23">
        <v>0</v>
      </c>
      <c r="H94" s="840">
        <v>0</v>
      </c>
      <c r="I94" s="840">
        <v>0</v>
      </c>
      <c r="J94" s="841">
        <v>0</v>
      </c>
    </row>
    <row r="95" spans="1:10" ht="12.75">
      <c r="A95" s="524" t="s">
        <v>614</v>
      </c>
      <c r="B95" s="1229">
        <v>12.062</v>
      </c>
      <c r="C95" s="1229">
        <v>1.26</v>
      </c>
      <c r="D95" s="23">
        <f>(B95*1000)/C95</f>
        <v>9573.015873015873</v>
      </c>
      <c r="E95" s="1229">
        <v>20.516</v>
      </c>
      <c r="F95" s="1229">
        <v>2.2</v>
      </c>
      <c r="G95" s="23">
        <f>(E95*1000)/F95</f>
        <v>9325.454545454544</v>
      </c>
      <c r="H95" s="840">
        <f>SUM(B95-E95)*100/E95</f>
        <v>-41.20686293624488</v>
      </c>
      <c r="I95" s="840">
        <f>SUM(C95-F95)*100/F95</f>
        <v>-42.727272727272734</v>
      </c>
      <c r="J95" s="841">
        <f>SUM(D95-G95)*100/G95</f>
        <v>2.6546837621121226</v>
      </c>
    </row>
    <row r="96" spans="1:10" ht="12.75">
      <c r="A96" s="524" t="s">
        <v>541</v>
      </c>
      <c r="B96" s="1229">
        <v>9.297</v>
      </c>
      <c r="C96" s="1229">
        <v>1.75</v>
      </c>
      <c r="D96" s="23">
        <f t="shared" si="12"/>
        <v>5312.571428571428</v>
      </c>
      <c r="E96" s="1229">
        <v>18.948</v>
      </c>
      <c r="F96" s="1229">
        <v>2.953</v>
      </c>
      <c r="G96" s="23">
        <f>(E96*1000)/F96</f>
        <v>6416.525567219777</v>
      </c>
      <c r="H96" s="840">
        <v>0</v>
      </c>
      <c r="I96" s="840">
        <v>0</v>
      </c>
      <c r="J96" s="841">
        <v>0</v>
      </c>
    </row>
    <row r="97" spans="1:10" ht="12.75">
      <c r="A97" s="248" t="s">
        <v>127</v>
      </c>
      <c r="B97" s="249">
        <f>SUM(B82:B96)</f>
        <v>6735.232999999998</v>
      </c>
      <c r="C97" s="249">
        <f>SUM(C82:C96)</f>
        <v>1192.077</v>
      </c>
      <c r="D97" s="250">
        <f t="shared" si="12"/>
        <v>5649.998280312428</v>
      </c>
      <c r="E97" s="249">
        <f>SUM(E82:E96)</f>
        <v>6786.067</v>
      </c>
      <c r="F97" s="249">
        <f>SUM(F82:F96)</f>
        <v>1086.212</v>
      </c>
      <c r="G97" s="250">
        <f>(E97*1000)/F97</f>
        <v>6247.460900818624</v>
      </c>
      <c r="H97" s="847">
        <f>SUM(B97-E97)*100/E97</f>
        <v>-0.7490936944772525</v>
      </c>
      <c r="I97" s="847">
        <f aca="true" t="shared" si="14" ref="I97:J99">SUM(C97-F97)*100/F97</f>
        <v>9.746255795369596</v>
      </c>
      <c r="J97" s="848">
        <f t="shared" si="14"/>
        <v>-9.563287069598298</v>
      </c>
    </row>
    <row r="98" spans="1:10" ht="12.75">
      <c r="A98" s="24" t="s">
        <v>150</v>
      </c>
      <c r="B98" s="25">
        <f>B99-B97</f>
        <v>67.44500000000153</v>
      </c>
      <c r="C98" s="25">
        <f>C99-C97</f>
        <v>13.236000000000104</v>
      </c>
      <c r="D98" s="722">
        <f t="shared" si="12"/>
        <v>5095.572680568223</v>
      </c>
      <c r="E98" s="25">
        <f>E99-E97</f>
        <v>163.8199999999997</v>
      </c>
      <c r="F98" s="25">
        <f>F99-F97</f>
        <v>28.186999999999898</v>
      </c>
      <c r="G98" s="23">
        <f>(E98*1000)/F98</f>
        <v>5811.899102423114</v>
      </c>
      <c r="H98" s="840">
        <f>SUM(B98-E98)*100/E98</f>
        <v>-58.82981320961931</v>
      </c>
      <c r="I98" s="840">
        <f t="shared" si="14"/>
        <v>-53.042182566430796</v>
      </c>
      <c r="J98" s="841">
        <f t="shared" si="14"/>
        <v>-12.325169608609299</v>
      </c>
    </row>
    <row r="99" spans="1:10" ht="12.75">
      <c r="A99" s="251" t="s">
        <v>151</v>
      </c>
      <c r="B99" s="252">
        <f>B9</f>
        <v>6802.678</v>
      </c>
      <c r="C99" s="229">
        <f>C9</f>
        <v>1205.313</v>
      </c>
      <c r="D99" s="253">
        <f t="shared" si="12"/>
        <v>5643.9099221530005</v>
      </c>
      <c r="E99" s="229">
        <f>E9</f>
        <v>6949.887</v>
      </c>
      <c r="F99" s="229">
        <f>F9</f>
        <v>1114.399</v>
      </c>
      <c r="G99" s="253">
        <f>(E99*1000)/F99</f>
        <v>6236.444038445836</v>
      </c>
      <c r="H99" s="844">
        <f>SUM(B99-E99)*100/E99</f>
        <v>-2.118149546891911</v>
      </c>
      <c r="I99" s="844">
        <f t="shared" si="14"/>
        <v>8.158119309152308</v>
      </c>
      <c r="J99" s="849">
        <f t="shared" si="14"/>
        <v>-9.501153423971054</v>
      </c>
    </row>
    <row r="100" spans="1:10" ht="12.75">
      <c r="A100" s="238" t="s">
        <v>116</v>
      </c>
      <c r="B100" s="6"/>
      <c r="C100" s="6"/>
      <c r="D100" s="6"/>
      <c r="E100" s="6"/>
      <c r="F100" s="6"/>
      <c r="G100" s="21"/>
      <c r="H100" s="6"/>
      <c r="I100" s="6"/>
      <c r="J100" s="6"/>
    </row>
    <row r="101" spans="1:10" ht="12.75">
      <c r="A101" s="384"/>
      <c r="B101" s="384"/>
      <c r="C101" s="384"/>
      <c r="D101" s="384"/>
      <c r="E101" s="384"/>
      <c r="F101" s="384"/>
      <c r="G101" s="385"/>
      <c r="H101" s="384"/>
      <c r="I101" s="384"/>
      <c r="J101" s="384"/>
    </row>
    <row r="102" spans="1:10" ht="12.75">
      <c r="A102" s="1459" t="s">
        <v>155</v>
      </c>
      <c r="B102" s="1459"/>
      <c r="C102" s="1459"/>
      <c r="D102" s="1459"/>
      <c r="E102" s="1459"/>
      <c r="F102" s="1459"/>
      <c r="G102" s="1459"/>
      <c r="H102" s="1459"/>
      <c r="I102" s="1459"/>
      <c r="J102" s="1459"/>
    </row>
    <row r="103" spans="1:10" ht="12.75">
      <c r="A103" s="1460" t="s">
        <v>321</v>
      </c>
      <c r="B103" s="1460"/>
      <c r="C103" s="1460"/>
      <c r="D103" s="1460"/>
      <c r="E103" s="1460"/>
      <c r="F103" s="1460"/>
      <c r="G103" s="1460"/>
      <c r="H103" s="1460"/>
      <c r="I103" s="1460"/>
      <c r="J103" s="1460"/>
    </row>
    <row r="104" spans="1:10" ht="12.75">
      <c r="A104" s="255"/>
      <c r="B104" s="255"/>
      <c r="C104" s="255"/>
      <c r="D104" s="255"/>
      <c r="E104" s="255"/>
      <c r="F104" s="255"/>
      <c r="G104" s="255"/>
      <c r="H104" s="255"/>
      <c r="I104" s="255"/>
      <c r="J104" s="255"/>
    </row>
    <row r="105" spans="1:10" ht="12.75">
      <c r="A105" s="1461" t="s">
        <v>156</v>
      </c>
      <c r="B105" s="1461"/>
      <c r="C105" s="1461"/>
      <c r="D105" s="26"/>
      <c r="E105" s="26"/>
      <c r="F105" s="26"/>
      <c r="G105" s="26"/>
      <c r="H105" s="26"/>
      <c r="I105" s="26"/>
      <c r="J105" s="26"/>
    </row>
    <row r="106" spans="1:10" ht="12.75">
      <c r="A106" s="6"/>
      <c r="B106" s="6"/>
      <c r="C106" s="6"/>
      <c r="D106" s="6"/>
      <c r="E106" s="6"/>
      <c r="F106" s="6"/>
      <c r="G106" s="21"/>
      <c r="H106" s="6"/>
      <c r="I106" s="6"/>
      <c r="J106" s="6"/>
    </row>
    <row r="107" spans="1:10" ht="12.75">
      <c r="A107" s="1462" t="s">
        <v>147</v>
      </c>
      <c r="B107" s="1464" t="str">
        <f>B4</f>
        <v>Jan a Ago/2016</v>
      </c>
      <c r="C107" s="1465"/>
      <c r="D107" s="1466"/>
      <c r="E107" s="1466" t="str">
        <f>E4</f>
        <v>Jan a Ago/2015</v>
      </c>
      <c r="F107" s="1467"/>
      <c r="G107" s="1467"/>
      <c r="H107" s="1468" t="s">
        <v>105</v>
      </c>
      <c r="I107" s="1468"/>
      <c r="J107" s="1469"/>
    </row>
    <row r="108" spans="1:10" ht="12.75">
      <c r="A108" s="1463"/>
      <c r="B108" s="241" t="s">
        <v>106</v>
      </c>
      <c r="C108" s="232" t="s">
        <v>148</v>
      </c>
      <c r="D108" s="234" t="s">
        <v>108</v>
      </c>
      <c r="E108" s="232" t="s">
        <v>106</v>
      </c>
      <c r="F108" s="232" t="s">
        <v>148</v>
      </c>
      <c r="G108" s="230" t="s">
        <v>108</v>
      </c>
      <c r="H108" s="1468" t="str">
        <f>H5</f>
        <v>(16/15)</v>
      </c>
      <c r="I108" s="1468"/>
      <c r="J108" s="1469"/>
    </row>
    <row r="109" spans="1:10" ht="12.75">
      <c r="A109" s="242"/>
      <c r="B109" s="241" t="s">
        <v>149</v>
      </c>
      <c r="C109" s="232" t="s">
        <v>140</v>
      </c>
      <c r="D109" s="234" t="s">
        <v>141</v>
      </c>
      <c r="E109" s="232" t="s">
        <v>149</v>
      </c>
      <c r="F109" s="232" t="s">
        <v>140</v>
      </c>
      <c r="G109" s="230" t="s">
        <v>141</v>
      </c>
      <c r="H109" s="232" t="s">
        <v>106</v>
      </c>
      <c r="I109" s="232" t="s">
        <v>107</v>
      </c>
      <c r="J109" s="235" t="s">
        <v>108</v>
      </c>
    </row>
    <row r="110" spans="1:10" ht="12.75">
      <c r="A110" s="524" t="s">
        <v>281</v>
      </c>
      <c r="B110" s="1229">
        <v>12253.44</v>
      </c>
      <c r="C110" s="1229">
        <v>2084.577</v>
      </c>
      <c r="D110" s="23">
        <f>(B110*1000)/C110</f>
        <v>5878.142184241695</v>
      </c>
      <c r="E110" s="1229">
        <v>11604.235</v>
      </c>
      <c r="F110" s="1229">
        <v>1804.676</v>
      </c>
      <c r="G110" s="23">
        <f>(E110*1000)/F110</f>
        <v>6430.093268819445</v>
      </c>
      <c r="H110" s="840">
        <f aca="true" t="shared" si="15" ref="H110:H116">SUM(B110-E110)*100/E110</f>
        <v>5.594552333695413</v>
      </c>
      <c r="I110" s="840">
        <f>SUM(C110-F110)*100/F110</f>
        <v>15.509764633651708</v>
      </c>
      <c r="J110" s="841">
        <f>SUM(D110-G110)*100/G110</f>
        <v>-8.583873693625097</v>
      </c>
    </row>
    <row r="111" spans="1:10" ht="12.75">
      <c r="A111" s="524" t="s">
        <v>286</v>
      </c>
      <c r="B111" s="1229">
        <v>12186.376</v>
      </c>
      <c r="C111" s="1229">
        <v>2751.515</v>
      </c>
      <c r="D111" s="23">
        <f>(B114*1000)/C114</f>
        <v>43515.34781742076</v>
      </c>
      <c r="E111" s="1229">
        <v>11732.953</v>
      </c>
      <c r="F111" s="1229">
        <v>2265.68</v>
      </c>
      <c r="G111" s="23">
        <f>(E114*1000)/F114</f>
        <v>12136.058197387461</v>
      </c>
      <c r="H111" s="840">
        <f>SUM(B114-E114)*100/E114</f>
        <v>-28.684103931061063</v>
      </c>
      <c r="I111" s="840">
        <f>SUM(C114-F114)*100/F114</f>
        <v>-80.11060675137267</v>
      </c>
      <c r="J111" s="841">
        <f>SUM(D111-G111)*100/G111</f>
        <v>258.56245174226626</v>
      </c>
    </row>
    <row r="112" spans="1:10" ht="12.75">
      <c r="A112" s="524" t="s">
        <v>323</v>
      </c>
      <c r="B112" s="1229">
        <v>2267.277</v>
      </c>
      <c r="C112" s="1229">
        <v>440.068</v>
      </c>
      <c r="D112" s="23">
        <f>(B113*1000)/C113</f>
        <v>9931.499750871948</v>
      </c>
      <c r="E112" s="1229">
        <v>2218.471</v>
      </c>
      <c r="F112" s="1229">
        <v>399.04</v>
      </c>
      <c r="G112" s="23">
        <f>(E112*1000)/F112</f>
        <v>5559.520348837209</v>
      </c>
      <c r="H112" s="840">
        <f t="shared" si="15"/>
        <v>2.19998368245517</v>
      </c>
      <c r="I112" s="840">
        <f>SUM(C112-F112)*100/F112</f>
        <v>10.28167602245388</v>
      </c>
      <c r="J112" s="841">
        <f>SUM(D112-G112)*100/G112</f>
        <v>78.63950714649604</v>
      </c>
    </row>
    <row r="113" spans="1:10" ht="12.75">
      <c r="A113" s="524" t="s">
        <v>289</v>
      </c>
      <c r="B113" s="1229">
        <v>498.313</v>
      </c>
      <c r="C113" s="1229">
        <v>50.175</v>
      </c>
      <c r="D113" s="23">
        <f>(B113*1000)/C113</f>
        <v>9931.499750871948</v>
      </c>
      <c r="E113" s="1229">
        <v>271.8</v>
      </c>
      <c r="F113" s="1229">
        <v>28.467</v>
      </c>
      <c r="G113" s="23">
        <f>(E113*1000)/F113</f>
        <v>9547.897565602278</v>
      </c>
      <c r="H113" s="840">
        <f aca="true" t="shared" si="16" ref="H113:J114">SUM(B113-E113)*100/E113</f>
        <v>83.33811626195731</v>
      </c>
      <c r="I113" s="840">
        <f t="shared" si="16"/>
        <v>76.25671830540625</v>
      </c>
      <c r="J113" s="841">
        <f t="shared" si="16"/>
        <v>4.017661298039626</v>
      </c>
    </row>
    <row r="114" spans="1:10" ht="12.75">
      <c r="A114" s="524" t="s">
        <v>322</v>
      </c>
      <c r="B114" s="19">
        <v>436.633</v>
      </c>
      <c r="C114" s="19">
        <v>10.034</v>
      </c>
      <c r="D114" s="23">
        <f>(B114*1000)/C114</f>
        <v>43515.34781742076</v>
      </c>
      <c r="E114" s="19">
        <v>612.252</v>
      </c>
      <c r="F114" s="19">
        <v>50.449</v>
      </c>
      <c r="G114" s="23">
        <f>(E114*1000)/F114</f>
        <v>12136.058197387461</v>
      </c>
      <c r="H114" s="840">
        <f t="shared" si="16"/>
        <v>-28.684103931061063</v>
      </c>
      <c r="I114" s="840">
        <f t="shared" si="16"/>
        <v>-80.11060675137267</v>
      </c>
      <c r="J114" s="843">
        <f t="shared" si="16"/>
        <v>258.56245174226626</v>
      </c>
    </row>
    <row r="115" spans="1:10" ht="12.75">
      <c r="A115" s="524" t="s">
        <v>470</v>
      </c>
      <c r="B115" s="1229">
        <v>315.612</v>
      </c>
      <c r="C115" s="1229">
        <v>46.285</v>
      </c>
      <c r="D115" s="23">
        <f>(B115*1000)/C115</f>
        <v>6818.883007453819</v>
      </c>
      <c r="E115" s="1229">
        <v>473.697</v>
      </c>
      <c r="F115" s="1229">
        <v>52.295</v>
      </c>
      <c r="G115" s="23">
        <f>(E115*1000)/F115</f>
        <v>9058.169997131658</v>
      </c>
      <c r="H115" s="840">
        <f t="shared" si="15"/>
        <v>-33.37259893982862</v>
      </c>
      <c r="I115" s="840">
        <f>SUM(C115-F115)*100/F115</f>
        <v>-11.492494502342488</v>
      </c>
      <c r="J115" s="841">
        <f>SUM(D115-G115)*100/G115</f>
        <v>-24.721185298873024</v>
      </c>
    </row>
    <row r="116" spans="1:10" ht="12.75">
      <c r="A116" s="524" t="s">
        <v>291</v>
      </c>
      <c r="B116" s="1229">
        <v>241.04</v>
      </c>
      <c r="C116" s="1229">
        <v>56.8</v>
      </c>
      <c r="D116" s="23">
        <f>(B116*1000)/C116</f>
        <v>4243.661971830986</v>
      </c>
      <c r="E116" s="1229">
        <v>368.778</v>
      </c>
      <c r="F116" s="1229">
        <v>71</v>
      </c>
      <c r="G116" s="23">
        <f>(E116*1000)/F116</f>
        <v>5194.056338028169</v>
      </c>
      <c r="H116" s="840">
        <f t="shared" si="15"/>
        <v>-34.63818340573462</v>
      </c>
      <c r="I116" s="840">
        <f>SUM(C116-F116)*100/F116</f>
        <v>-20.000000000000004</v>
      </c>
      <c r="J116" s="841">
        <f>SUM(D116-G116)*100/G116</f>
        <v>-18.297729257168275</v>
      </c>
    </row>
    <row r="117" spans="1:10" ht="12.75">
      <c r="A117" s="524" t="s">
        <v>287</v>
      </c>
      <c r="B117" s="1229">
        <v>41.436</v>
      </c>
      <c r="C117" s="1229">
        <v>0.47</v>
      </c>
      <c r="D117" s="23">
        <f>(B117*1000)/C117</f>
        <v>88161.70212765958</v>
      </c>
      <c r="E117" s="1229">
        <v>4.866</v>
      </c>
      <c r="F117" s="1229">
        <v>0.06</v>
      </c>
      <c r="G117" s="23">
        <f>(E117*1000)/F117</f>
        <v>81100</v>
      </c>
      <c r="H117" s="840">
        <f>SUM(B117-E117)*100/E117</f>
        <v>751.54130702836</v>
      </c>
      <c r="I117" s="840">
        <f>SUM(C117-F117)*100/F117</f>
        <v>683.3333333333334</v>
      </c>
      <c r="J117" s="841">
        <f>SUM(D117-G117)*100/G117</f>
        <v>8.707400897237456</v>
      </c>
    </row>
    <row r="118" spans="1:10" ht="12.75">
      <c r="A118" s="524" t="s">
        <v>288</v>
      </c>
      <c r="B118" s="1229">
        <v>39.417</v>
      </c>
      <c r="C118" s="1229">
        <v>4.764</v>
      </c>
      <c r="D118" s="23">
        <f>(B118*1000)/C118</f>
        <v>8273.929471032745</v>
      </c>
      <c r="E118" s="1229">
        <v>110.389</v>
      </c>
      <c r="F118" s="1229">
        <v>17.824</v>
      </c>
      <c r="G118" s="23">
        <f>(E118*1000)/F118</f>
        <v>6193.278725314182</v>
      </c>
      <c r="H118" s="840">
        <f>SUM(B118-E118)*100/E118</f>
        <v>-64.2926378534093</v>
      </c>
      <c r="I118" s="840">
        <f>SUM(C118-F118)*100/F118</f>
        <v>-73.27199281867146</v>
      </c>
      <c r="J118" s="841">
        <f>SUM(D118-G118)*100/G118</f>
        <v>33.59530287590943</v>
      </c>
    </row>
    <row r="119" spans="1:10" ht="12.75">
      <c r="A119" s="524" t="s">
        <v>290</v>
      </c>
      <c r="B119" s="1229">
        <v>31.887</v>
      </c>
      <c r="C119" s="1229">
        <v>2.371</v>
      </c>
      <c r="D119" s="23">
        <f>(B119*1000)/C119</f>
        <v>13448.755799240827</v>
      </c>
      <c r="E119" s="1229">
        <v>52.031</v>
      </c>
      <c r="F119" s="1229">
        <v>3.488</v>
      </c>
      <c r="G119" s="23">
        <f>(E119*1000)/F119</f>
        <v>14917.144495412844</v>
      </c>
      <c r="H119" s="840">
        <f>SUM(B119-E119)*100/E119</f>
        <v>-38.71538121504488</v>
      </c>
      <c r="I119" s="840">
        <f>SUM(C119-F119)*100/F119</f>
        <v>-32.02408256880734</v>
      </c>
      <c r="J119" s="841">
        <f>SUM(D119-G119)*100/G119</f>
        <v>-9.843631243389504</v>
      </c>
    </row>
    <row r="120" spans="1:10" ht="12.75">
      <c r="A120" s="524" t="s">
        <v>471</v>
      </c>
      <c r="B120" s="1229">
        <v>28.789</v>
      </c>
      <c r="C120" s="1229">
        <v>3.374</v>
      </c>
      <c r="D120" s="23">
        <f>(B120*1000)/C120</f>
        <v>8532.602252519264</v>
      </c>
      <c r="E120" s="1229">
        <v>5.193</v>
      </c>
      <c r="F120" s="1229">
        <v>0.756</v>
      </c>
      <c r="G120" s="23">
        <f>(E120*1000)/F120</f>
        <v>6869.047619047619</v>
      </c>
      <c r="H120" s="840">
        <v>0</v>
      </c>
      <c r="I120" s="840">
        <v>0</v>
      </c>
      <c r="J120" s="841">
        <v>0</v>
      </c>
    </row>
    <row r="121" spans="1:10" ht="12.75">
      <c r="A121" s="524" t="s">
        <v>280</v>
      </c>
      <c r="B121" s="1229">
        <v>34.784</v>
      </c>
      <c r="C121" s="1229">
        <v>3.057</v>
      </c>
      <c r="D121" s="23">
        <f>(B121*1000)/C121</f>
        <v>11378.475629702323</v>
      </c>
      <c r="E121" s="1229">
        <v>288.509</v>
      </c>
      <c r="F121" s="1229">
        <v>50.147</v>
      </c>
      <c r="G121" s="23">
        <f>(E121*1000)/F121</f>
        <v>5753.265399724809</v>
      </c>
      <c r="H121" s="840">
        <f>SUM(B121-E121)*100/E121</f>
        <v>-87.94353035780513</v>
      </c>
      <c r="I121" s="840">
        <f>SUM(C121-F121)*100/F121</f>
        <v>-93.90392246794424</v>
      </c>
      <c r="J121" s="841">
        <f>SUM(D121-G121)*100/G121</f>
        <v>97.77421758166379</v>
      </c>
    </row>
    <row r="122" spans="1:10" ht="12.75">
      <c r="A122" s="524" t="s">
        <v>475</v>
      </c>
      <c r="B122" s="1229">
        <v>11.691</v>
      </c>
      <c r="C122" s="1229">
        <v>2.1</v>
      </c>
      <c r="D122" s="23">
        <f>(B122*1000)/C122</f>
        <v>5567.142857142857</v>
      </c>
      <c r="E122" s="1229">
        <v>0</v>
      </c>
      <c r="F122" s="1229">
        <v>0</v>
      </c>
      <c r="G122" s="840">
        <v>0</v>
      </c>
      <c r="H122" s="840">
        <v>0</v>
      </c>
      <c r="I122" s="840">
        <v>0</v>
      </c>
      <c r="J122" s="841">
        <v>0</v>
      </c>
    </row>
    <row r="123" spans="1:11" ht="12.75">
      <c r="A123" s="524" t="s">
        <v>611</v>
      </c>
      <c r="B123" s="1229">
        <v>3.012</v>
      </c>
      <c r="C123" s="1229">
        <v>0.001</v>
      </c>
      <c r="D123" s="23">
        <v>0</v>
      </c>
      <c r="E123" s="1229">
        <v>0</v>
      </c>
      <c r="F123" s="1229">
        <v>0</v>
      </c>
      <c r="G123" s="840">
        <v>0</v>
      </c>
      <c r="H123" s="840">
        <v>0</v>
      </c>
      <c r="I123" s="840">
        <v>0</v>
      </c>
      <c r="J123" s="841">
        <v>0</v>
      </c>
      <c r="K123" s="4"/>
    </row>
    <row r="124" spans="1:10" ht="12.75">
      <c r="A124" s="524" t="s">
        <v>612</v>
      </c>
      <c r="B124" s="1229">
        <v>1.343</v>
      </c>
      <c r="C124" s="1229">
        <v>0.005</v>
      </c>
      <c r="D124" s="23">
        <v>0</v>
      </c>
      <c r="E124" s="1229">
        <v>66.579</v>
      </c>
      <c r="F124" s="1229">
        <v>3.953</v>
      </c>
      <c r="G124" s="23">
        <f>(E124*1000)/F124</f>
        <v>16842.65115102454</v>
      </c>
      <c r="H124" s="840">
        <f>SUM(B124-E124)*100/E124</f>
        <v>-97.98284744438936</v>
      </c>
      <c r="I124" s="840">
        <f>SUM(C124-F124)*100/F124</f>
        <v>-99.87351378699722</v>
      </c>
      <c r="J124" s="841">
        <f>SUM(D124-G124)*100/G124</f>
        <v>-100</v>
      </c>
    </row>
    <row r="125" spans="1:10" ht="12.75">
      <c r="A125" s="248" t="s">
        <v>127</v>
      </c>
      <c r="B125" s="249">
        <f>SUM(B110:B124)</f>
        <v>28391.050000000003</v>
      </c>
      <c r="C125" s="249">
        <f>SUM(C110:C124)</f>
        <v>5455.596000000001</v>
      </c>
      <c r="D125" s="250">
        <f>(B125*1000)/C125</f>
        <v>5204.023538399837</v>
      </c>
      <c r="E125" s="249">
        <f>SUM(E110:E124)</f>
        <v>27809.753</v>
      </c>
      <c r="F125" s="249">
        <f>SUM(F110:F124)</f>
        <v>4747.835</v>
      </c>
      <c r="G125" s="250">
        <f>(E125*1000)/F125</f>
        <v>5857.354562658559</v>
      </c>
      <c r="H125" s="847">
        <f>SUM(B125-E125)*100/E125</f>
        <v>2.0902630814448524</v>
      </c>
      <c r="I125" s="847">
        <f aca="true" t="shared" si="17" ref="I125:J127">SUM(C125-F125)*100/F125</f>
        <v>14.907026044502418</v>
      </c>
      <c r="J125" s="848">
        <f t="shared" si="17"/>
        <v>-11.154028960852008</v>
      </c>
    </row>
    <row r="126" spans="1:11" ht="12.75">
      <c r="A126" s="24" t="s">
        <v>150</v>
      </c>
      <c r="B126" s="25">
        <f>B127-B125</f>
        <v>1.38999999999578</v>
      </c>
      <c r="C126" s="25">
        <f>C127-C125</f>
        <v>0.013999999998304702</v>
      </c>
      <c r="D126" s="250">
        <v>0</v>
      </c>
      <c r="E126" s="25">
        <f>E127-E125</f>
        <v>20.122999999999593</v>
      </c>
      <c r="F126" s="25">
        <f>F127-F125</f>
        <v>1.2640000000001237</v>
      </c>
      <c r="G126" s="23">
        <v>0</v>
      </c>
      <c r="H126" s="850">
        <v>0</v>
      </c>
      <c r="I126" s="850">
        <v>0</v>
      </c>
      <c r="J126" s="851">
        <v>0</v>
      </c>
      <c r="K126" s="4"/>
    </row>
    <row r="127" spans="1:10" ht="12.75">
      <c r="A127" s="251" t="s">
        <v>151</v>
      </c>
      <c r="B127" s="252">
        <f>B10</f>
        <v>28392.44</v>
      </c>
      <c r="C127" s="252">
        <f>C10</f>
        <v>5455.61</v>
      </c>
      <c r="D127" s="253">
        <f>(B127*1000)/C127</f>
        <v>5204.2649676204865</v>
      </c>
      <c r="E127" s="229">
        <f>E10</f>
        <v>27829.876</v>
      </c>
      <c r="F127" s="229">
        <f>F10</f>
        <v>4749.099</v>
      </c>
      <c r="G127" s="253">
        <f>(E127*1000)/F127</f>
        <v>5860.032818856797</v>
      </c>
      <c r="H127" s="844">
        <f>SUM(B127-E127)*100/E127</f>
        <v>2.0214391181620734</v>
      </c>
      <c r="I127" s="844">
        <f t="shared" si="17"/>
        <v>14.876737671714139</v>
      </c>
      <c r="J127" s="849">
        <f t="shared" si="17"/>
        <v>-11.19051499380922</v>
      </c>
    </row>
    <row r="128" spans="1:10" ht="12.75">
      <c r="A128" s="233" t="s">
        <v>116</v>
      </c>
      <c r="B128" s="3"/>
      <c r="C128" s="3"/>
      <c r="D128" s="3"/>
      <c r="E128" s="3"/>
      <c r="F128" s="3"/>
      <c r="G128" s="17"/>
      <c r="H128" s="3"/>
      <c r="I128" s="3"/>
      <c r="J128" s="3"/>
    </row>
    <row r="129" spans="1:10" ht="12.75">
      <c r="A129" s="382"/>
      <c r="B129" s="382"/>
      <c r="C129" s="382"/>
      <c r="D129" s="382"/>
      <c r="E129" s="382"/>
      <c r="F129" s="382"/>
      <c r="G129" s="383"/>
      <c r="H129" s="382"/>
      <c r="I129" s="382"/>
      <c r="J129" s="382"/>
    </row>
  </sheetData>
  <sheetProtection/>
  <mergeCells count="39">
    <mergeCell ref="A2:J2"/>
    <mergeCell ref="A4:A5"/>
    <mergeCell ref="B4:D4"/>
    <mergeCell ref="E4:G4"/>
    <mergeCell ref="H4:J4"/>
    <mergeCell ref="H5:J5"/>
    <mergeCell ref="A20:J20"/>
    <mergeCell ref="A21:J21"/>
    <mergeCell ref="A23:C23"/>
    <mergeCell ref="A25:A26"/>
    <mergeCell ref="B25:D25"/>
    <mergeCell ref="E25:G25"/>
    <mergeCell ref="H25:J25"/>
    <mergeCell ref="H26:J26"/>
    <mergeCell ref="H80:J80"/>
    <mergeCell ref="A47:J47"/>
    <mergeCell ref="A48:J48"/>
    <mergeCell ref="A50:C50"/>
    <mergeCell ref="A52:A53"/>
    <mergeCell ref="B52:D52"/>
    <mergeCell ref="E52:G52"/>
    <mergeCell ref="H52:J52"/>
    <mergeCell ref="H53:J53"/>
    <mergeCell ref="A1:J1"/>
    <mergeCell ref="A102:J102"/>
    <mergeCell ref="A103:J103"/>
    <mergeCell ref="A105:C105"/>
    <mergeCell ref="A107:A108"/>
    <mergeCell ref="B107:D107"/>
    <mergeCell ref="E107:G107"/>
    <mergeCell ref="H107:J107"/>
    <mergeCell ref="H108:J108"/>
    <mergeCell ref="A74:J74"/>
    <mergeCell ref="A75:J75"/>
    <mergeCell ref="A77:C77"/>
    <mergeCell ref="A79:A80"/>
    <mergeCell ref="B79:D79"/>
    <mergeCell ref="E79:G79"/>
    <mergeCell ref="H79:J79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40.57421875" style="0" customWidth="1"/>
    <col min="2" max="2" width="10.28125" style="0" bestFit="1" customWidth="1"/>
    <col min="3" max="3" width="9.00390625" style="0" bestFit="1" customWidth="1"/>
    <col min="4" max="4" width="10.28125" style="0" bestFit="1" customWidth="1"/>
    <col min="5" max="5" width="9.00390625" style="0" bestFit="1" customWidth="1"/>
    <col min="6" max="6" width="12.00390625" style="0" customWidth="1"/>
    <col min="7" max="7" width="11.140625" style="0" customWidth="1"/>
    <col min="8" max="8" width="12.57421875" style="0" customWidth="1"/>
    <col min="9" max="9" width="11.8515625" style="0" customWidth="1"/>
    <col min="10" max="11" width="9.00390625" style="0" customWidth="1"/>
    <col min="12" max="12" width="8.57421875" style="0" customWidth="1"/>
    <col min="200" max="200" width="39.421875" style="0" customWidth="1"/>
    <col min="201" max="201" width="10.28125" style="0" bestFit="1" customWidth="1"/>
    <col min="202" max="202" width="9.00390625" style="0" bestFit="1" customWidth="1"/>
    <col min="203" max="203" width="10.28125" style="0" bestFit="1" customWidth="1"/>
    <col min="204" max="204" width="9.00390625" style="0" bestFit="1" customWidth="1"/>
    <col min="205" max="205" width="11.00390625" style="0" customWidth="1"/>
    <col min="206" max="206" width="11.140625" style="0" customWidth="1"/>
    <col min="207" max="207" width="12.57421875" style="0" customWidth="1"/>
    <col min="208" max="208" width="11.8515625" style="0" customWidth="1"/>
    <col min="209" max="210" width="9.00390625" style="0" customWidth="1"/>
    <col min="211" max="211" width="8.57421875" style="0" customWidth="1"/>
  </cols>
  <sheetData>
    <row r="1" spans="1:12" ht="12.75">
      <c r="A1" s="1458" t="s">
        <v>420</v>
      </c>
      <c r="B1" s="1458"/>
      <c r="C1" s="1458"/>
      <c r="D1" s="1458"/>
      <c r="E1" s="1458"/>
      <c r="F1" s="1458"/>
      <c r="G1" s="1458"/>
      <c r="H1" s="1458"/>
      <c r="I1" s="1458"/>
      <c r="J1" s="1458"/>
      <c r="K1" s="1458"/>
      <c r="L1" s="1458"/>
    </row>
    <row r="2" spans="1:12" ht="12.75">
      <c r="A2" s="1486" t="s">
        <v>482</v>
      </c>
      <c r="B2" s="1486"/>
      <c r="C2" s="1486"/>
      <c r="D2" s="1486"/>
      <c r="E2" s="1486"/>
      <c r="F2" s="1486"/>
      <c r="G2" s="1486"/>
      <c r="H2" s="1486"/>
      <c r="I2" s="1486"/>
      <c r="J2" s="1486"/>
      <c r="K2" s="1486"/>
      <c r="L2" s="1486"/>
    </row>
    <row r="3" spans="1:12" ht="13.5" thickBot="1">
      <c r="A3" s="1496" t="s">
        <v>591</v>
      </c>
      <c r="B3" s="1496"/>
      <c r="C3" s="1496"/>
      <c r="D3" s="1496"/>
      <c r="E3" s="1496"/>
      <c r="F3" s="1496"/>
      <c r="G3" s="1496"/>
      <c r="H3" s="1496"/>
      <c r="I3" s="1496"/>
      <c r="J3" s="1496"/>
      <c r="K3" s="1496"/>
      <c r="L3" s="1496"/>
    </row>
    <row r="4" spans="1:12" ht="19.5" customHeight="1">
      <c r="A4" s="1487" t="s">
        <v>353</v>
      </c>
      <c r="B4" s="1490" t="s">
        <v>354</v>
      </c>
      <c r="C4" s="1491"/>
      <c r="D4" s="1491"/>
      <c r="E4" s="1492"/>
      <c r="F4" s="1493" t="s">
        <v>376</v>
      </c>
      <c r="G4" s="1493" t="s">
        <v>355</v>
      </c>
      <c r="H4" s="1493" t="s">
        <v>356</v>
      </c>
      <c r="I4" s="1493" t="s">
        <v>357</v>
      </c>
      <c r="J4" s="1493" t="s">
        <v>358</v>
      </c>
      <c r="K4" s="1490" t="s">
        <v>373</v>
      </c>
      <c r="L4" s="1491"/>
    </row>
    <row r="5" spans="1:12" ht="19.5" customHeight="1">
      <c r="A5" s="1488"/>
      <c r="B5" s="1480" t="s">
        <v>359</v>
      </c>
      <c r="C5" s="1481"/>
      <c r="D5" s="1480" t="s">
        <v>360</v>
      </c>
      <c r="E5" s="1481"/>
      <c r="F5" s="1494"/>
      <c r="G5" s="1494"/>
      <c r="H5" s="1494"/>
      <c r="I5" s="1494"/>
      <c r="J5" s="1494"/>
      <c r="K5" s="1482" t="s">
        <v>361</v>
      </c>
      <c r="L5" s="1484" t="s">
        <v>362</v>
      </c>
    </row>
    <row r="6" spans="1:12" ht="15" customHeight="1" thickBot="1">
      <c r="A6" s="1489"/>
      <c r="B6" s="1292" t="s">
        <v>363</v>
      </c>
      <c r="C6" s="1292" t="s">
        <v>364</v>
      </c>
      <c r="D6" s="1292" t="s">
        <v>363</v>
      </c>
      <c r="E6" s="1292" t="s">
        <v>364</v>
      </c>
      <c r="F6" s="1495"/>
      <c r="G6" s="1495"/>
      <c r="H6" s="1495"/>
      <c r="I6" s="1495"/>
      <c r="J6" s="1495"/>
      <c r="K6" s="1483"/>
      <c r="L6" s="1485"/>
    </row>
    <row r="7" spans="1:12" ht="15" customHeight="1" thickBot="1">
      <c r="A7" s="565" t="s">
        <v>375</v>
      </c>
      <c r="B7" s="566">
        <f>(B14+B25+B27+B29+B31)/5</f>
        <v>11026.155349403372</v>
      </c>
      <c r="C7" s="566">
        <f>(C14+C25+C27+C29+C31)/5</f>
        <v>462.39687018521255</v>
      </c>
      <c r="D7" s="566">
        <f>(D14+D25+D27+D29+D31)/5</f>
        <v>13350.209476268623</v>
      </c>
      <c r="E7" s="566">
        <f>(E14+E25+E27+E29+E31)/5</f>
        <v>549.3521156828056</v>
      </c>
      <c r="F7" s="562">
        <f>F12+F14+F25+F27+F29+F31</f>
        <v>1387351</v>
      </c>
      <c r="G7" s="541">
        <v>1497293</v>
      </c>
      <c r="H7" s="564">
        <f>(G7/$G$7)*100</f>
        <v>100</v>
      </c>
      <c r="I7" s="542">
        <f>(F7/G7)*100</f>
        <v>92.65728217523224</v>
      </c>
      <c r="J7" s="567">
        <f>'8.Cotações'!F16</f>
        <v>478.9</v>
      </c>
      <c r="K7" s="570">
        <f>(J7/C7-1)*100</f>
        <v>3.569040120919742</v>
      </c>
      <c r="L7" s="571">
        <f>(J7/E7-1)*100</f>
        <v>-12.824582571278276</v>
      </c>
    </row>
    <row r="8" spans="1:12" ht="12.75" customHeight="1">
      <c r="A8" s="1276" t="s">
        <v>586</v>
      </c>
      <c r="B8" s="579">
        <v>12035.56</v>
      </c>
      <c r="C8" s="579">
        <f>B8/50</f>
        <v>240.7112</v>
      </c>
      <c r="D8" s="579">
        <v>16227.99</v>
      </c>
      <c r="E8" s="634">
        <f>D8/50</f>
        <v>324.5598</v>
      </c>
      <c r="F8" s="635">
        <v>9129</v>
      </c>
      <c r="G8" s="635">
        <v>9129</v>
      </c>
      <c r="H8" s="636">
        <f>(G8/$G$7)*100</f>
        <v>0.6097003058185673</v>
      </c>
      <c r="I8" s="636">
        <f>(F8/G8)*100</f>
        <v>100</v>
      </c>
      <c r="J8" s="637">
        <f>J7</f>
        <v>478.9</v>
      </c>
      <c r="K8" s="637">
        <f>(J8/C8-1)*100</f>
        <v>98.95210526140869</v>
      </c>
      <c r="L8" s="638">
        <f>(J8/E8-1)*100</f>
        <v>47.553701968019446</v>
      </c>
    </row>
    <row r="9" spans="1:12" ht="12.75" customHeight="1">
      <c r="A9" s="639" t="s">
        <v>372</v>
      </c>
      <c r="B9" s="580"/>
      <c r="C9" s="579"/>
      <c r="D9" s="579"/>
      <c r="E9" s="580"/>
      <c r="F9" s="592"/>
      <c r="G9" s="593"/>
      <c r="H9" s="640"/>
      <c r="I9" s="596"/>
      <c r="J9" s="641"/>
      <c r="K9" s="641"/>
      <c r="L9" s="586"/>
    </row>
    <row r="10" spans="1:12" ht="12.75" customHeight="1">
      <c r="A10" s="639" t="s">
        <v>483</v>
      </c>
      <c r="B10" s="579"/>
      <c r="C10" s="579"/>
      <c r="D10" s="579"/>
      <c r="E10" s="579"/>
      <c r="F10" s="593"/>
      <c r="G10" s="593"/>
      <c r="H10" s="640"/>
      <c r="I10" s="596"/>
      <c r="J10" s="641"/>
      <c r="K10" s="641"/>
      <c r="L10" s="586"/>
    </row>
    <row r="11" spans="1:12" ht="12.75" customHeight="1">
      <c r="A11" s="639" t="s">
        <v>484</v>
      </c>
      <c r="B11" s="580"/>
      <c r="C11" s="579"/>
      <c r="D11" s="579"/>
      <c r="E11" s="579"/>
      <c r="F11" s="593"/>
      <c r="G11" s="593"/>
      <c r="H11" s="640"/>
      <c r="I11" s="596"/>
      <c r="J11" s="641"/>
      <c r="K11" s="641"/>
      <c r="L11" s="586"/>
    </row>
    <row r="12" spans="1:13" ht="15" customHeight="1" thickBot="1">
      <c r="A12" s="642" t="s">
        <v>494</v>
      </c>
      <c r="B12" s="643"/>
      <c r="C12" s="643"/>
      <c r="D12" s="643"/>
      <c r="E12" s="643"/>
      <c r="F12" s="644">
        <v>9129</v>
      </c>
      <c r="G12" s="644">
        <f>143939-35228</f>
        <v>108711</v>
      </c>
      <c r="H12" s="630">
        <f>(G12/$G$7)*100</f>
        <v>7.2605027873635954</v>
      </c>
      <c r="I12" s="630">
        <f>(F12/G12)*100</f>
        <v>8.397494273808539</v>
      </c>
      <c r="J12" s="632">
        <f>J7</f>
        <v>478.9</v>
      </c>
      <c r="K12" s="632"/>
      <c r="L12" s="633"/>
      <c r="M12" s="4"/>
    </row>
    <row r="13" spans="1:13" ht="12.75" customHeight="1">
      <c r="A13" s="1293" t="s">
        <v>592</v>
      </c>
      <c r="B13" s="657">
        <v>13873.5</v>
      </c>
      <c r="C13" s="657">
        <f>B13/55</f>
        <v>252.24545454545455</v>
      </c>
      <c r="D13" s="657">
        <v>18312.7</v>
      </c>
      <c r="E13" s="657">
        <f>D13/55</f>
        <v>332.95818181818186</v>
      </c>
      <c r="F13" s="645"/>
      <c r="G13" s="645"/>
      <c r="H13" s="646"/>
      <c r="I13" s="646"/>
      <c r="J13" s="647"/>
      <c r="K13" s="647"/>
      <c r="L13" s="648"/>
      <c r="M13" s="4"/>
    </row>
    <row r="14" spans="1:13" ht="15" customHeight="1" thickBot="1">
      <c r="A14" s="649" t="s">
        <v>485</v>
      </c>
      <c r="B14" s="650">
        <f>B13</f>
        <v>13873.5</v>
      </c>
      <c r="C14" s="650">
        <f>B14/36.81</f>
        <v>376.89486552567234</v>
      </c>
      <c r="D14" s="650">
        <f>D13</f>
        <v>18312.7</v>
      </c>
      <c r="E14" s="650">
        <f>D14/36.81</f>
        <v>497.4925292040206</v>
      </c>
      <c r="F14" s="651">
        <v>6175</v>
      </c>
      <c r="G14" s="651">
        <v>6175</v>
      </c>
      <c r="H14" s="652">
        <f>(G14/$G$7)*100</f>
        <v>0.412410930926679</v>
      </c>
      <c r="I14" s="653">
        <f>(F14/G14)*100</f>
        <v>100</v>
      </c>
      <c r="J14" s="654">
        <f>J7</f>
        <v>478.9</v>
      </c>
      <c r="K14" s="655">
        <f>(J14/C14-1)*100</f>
        <v>27.06461239052871</v>
      </c>
      <c r="L14" s="656">
        <f>(J14/E14-1)*100</f>
        <v>-3.737247920841824</v>
      </c>
      <c r="M14" s="4"/>
    </row>
    <row r="15" spans="1:13" ht="12.75" customHeight="1">
      <c r="A15" s="572" t="s">
        <v>446</v>
      </c>
      <c r="B15" s="573">
        <f>(SUM(B16:B20)/5)</f>
        <v>10626.535120525295</v>
      </c>
      <c r="C15" s="573">
        <f>B15/21.6</f>
        <v>491.9692185428377</v>
      </c>
      <c r="D15" s="573">
        <f>(SUM(D16:D20)/5)</f>
        <v>12883.096072014678</v>
      </c>
      <c r="E15" s="573">
        <f>D15/21.6</f>
        <v>596.4396329636425</v>
      </c>
      <c r="F15" s="574">
        <v>474611</v>
      </c>
      <c r="G15" s="574">
        <v>474611</v>
      </c>
      <c r="H15" s="575">
        <f>(G15/$G$7)*100</f>
        <v>31.697937544622196</v>
      </c>
      <c r="I15" s="575">
        <f>(G15/F25)*100</f>
        <v>49.05763156153872</v>
      </c>
      <c r="J15" s="576">
        <f>J7</f>
        <v>478.9</v>
      </c>
      <c r="K15" s="577">
        <f>(J15/C15-1)*100</f>
        <v>-2.6565114340989515</v>
      </c>
      <c r="L15" s="578">
        <f>(J15/E15-1)*100</f>
        <v>-19.706878360782476</v>
      </c>
      <c r="M15" s="4"/>
    </row>
    <row r="16" spans="1:13" ht="24.75">
      <c r="A16" s="1285" t="s">
        <v>589</v>
      </c>
      <c r="B16" s="579">
        <v>9666.76</v>
      </c>
      <c r="C16" s="579">
        <f>B16/30</f>
        <v>322.22533333333337</v>
      </c>
      <c r="D16" s="579">
        <v>12585.39</v>
      </c>
      <c r="E16" s="580">
        <f>D16/30</f>
        <v>419.513</v>
      </c>
      <c r="F16" s="581"/>
      <c r="G16" s="582"/>
      <c r="H16" s="583"/>
      <c r="I16" s="584"/>
      <c r="J16" s="585"/>
      <c r="K16" s="585"/>
      <c r="L16" s="586"/>
      <c r="M16" s="4"/>
    </row>
    <row r="17" spans="1:13" ht="25.5" customHeight="1">
      <c r="A17" s="1276" t="s">
        <v>588</v>
      </c>
      <c r="B17" s="579">
        <v>10962.34</v>
      </c>
      <c r="C17" s="579">
        <f>B17/30</f>
        <v>365.41133333333335</v>
      </c>
      <c r="D17" s="579">
        <v>13872.11</v>
      </c>
      <c r="E17" s="579">
        <f>D17/30</f>
        <v>462.4036666666667</v>
      </c>
      <c r="F17" s="587"/>
      <c r="G17" s="588"/>
      <c r="H17" s="589"/>
      <c r="I17" s="584"/>
      <c r="J17" s="590"/>
      <c r="K17" s="591"/>
      <c r="L17" s="586"/>
      <c r="M17" s="4"/>
    </row>
    <row r="18" spans="1:13" ht="12.75" customHeight="1">
      <c r="A18" s="1142" t="s">
        <v>480</v>
      </c>
      <c r="B18" s="579">
        <v>13161.29</v>
      </c>
      <c r="C18" s="579">
        <f>B18/30</f>
        <v>438.7096666666667</v>
      </c>
      <c r="D18" s="579">
        <v>14918.87</v>
      </c>
      <c r="E18" s="580">
        <f>D18/30</f>
        <v>497.2956666666667</v>
      </c>
      <c r="F18" s="592"/>
      <c r="G18" s="593"/>
      <c r="H18" s="594"/>
      <c r="I18" s="595"/>
      <c r="J18" s="594"/>
      <c r="K18" s="594"/>
      <c r="L18" s="586"/>
      <c r="M18" s="4"/>
    </row>
    <row r="19" spans="1:13" ht="12.75" customHeight="1">
      <c r="A19" s="1285" t="s">
        <v>585</v>
      </c>
      <c r="B19" s="579">
        <v>9343.44</v>
      </c>
      <c r="C19" s="579">
        <f>B19/30</f>
        <v>311.44800000000004</v>
      </c>
      <c r="D19" s="579">
        <v>11765.6</v>
      </c>
      <c r="E19" s="580">
        <f>D19/30</f>
        <v>392.18666666666667</v>
      </c>
      <c r="F19" s="592"/>
      <c r="G19" s="593"/>
      <c r="H19" s="594"/>
      <c r="I19" s="596"/>
      <c r="J19" s="597"/>
      <c r="K19" s="597"/>
      <c r="L19" s="586"/>
      <c r="M19" s="4"/>
    </row>
    <row r="20" spans="1:13" ht="12.75" customHeight="1">
      <c r="A20" s="598" t="s">
        <v>379</v>
      </c>
      <c r="B20" s="599">
        <v>9998.845602626476</v>
      </c>
      <c r="C20" s="599">
        <f>B20/30</f>
        <v>333.29485342088253</v>
      </c>
      <c r="D20" s="599">
        <v>11273.510360073386</v>
      </c>
      <c r="E20" s="599">
        <f>D20/30</f>
        <v>375.7836786691129</v>
      </c>
      <c r="F20" s="600"/>
      <c r="G20" s="600"/>
      <c r="H20" s="601"/>
      <c r="I20" s="602"/>
      <c r="J20" s="601"/>
      <c r="K20" s="601"/>
      <c r="L20" s="603"/>
      <c r="M20" s="4"/>
    </row>
    <row r="21" spans="1:13" ht="12.75" customHeight="1">
      <c r="A21" s="572" t="s">
        <v>486</v>
      </c>
      <c r="B21" s="573">
        <f>(SUM(B16:B20))/5</f>
        <v>10626.535120525295</v>
      </c>
      <c r="C21" s="573">
        <f>B21/24.8</f>
        <v>428.48931937602</v>
      </c>
      <c r="D21" s="573">
        <f>(SUM(D16:D20))/5</f>
        <v>12883.096072014678</v>
      </c>
      <c r="E21" s="573">
        <f>D21/24.8</f>
        <v>519.4796803231725</v>
      </c>
      <c r="F21" s="574">
        <v>170634</v>
      </c>
      <c r="G21" s="574">
        <v>170634</v>
      </c>
      <c r="H21" s="575">
        <f>(G21/$G$7)*100</f>
        <v>11.396166281415862</v>
      </c>
      <c r="I21" s="575">
        <f>(G21/F25)*100</f>
        <v>17.637391261204645</v>
      </c>
      <c r="J21" s="604">
        <f>J7</f>
        <v>478.9</v>
      </c>
      <c r="K21" s="577">
        <f>(J21/C21-1)*100</f>
        <v>11.764746131219717</v>
      </c>
      <c r="L21" s="578">
        <f>(J21/E21-1)*100</f>
        <v>-7.8116010808984</v>
      </c>
      <c r="M21" s="4"/>
    </row>
    <row r="22" spans="1:13" ht="12.75" customHeight="1">
      <c r="A22" s="1286" t="s">
        <v>587</v>
      </c>
      <c r="B22" s="605">
        <v>9384.13</v>
      </c>
      <c r="C22" s="605">
        <f>B22/30</f>
        <v>312.8043333333333</v>
      </c>
      <c r="D22" s="605">
        <v>12683.69</v>
      </c>
      <c r="E22" s="606">
        <f>D22/30</f>
        <v>422.7896666666667</v>
      </c>
      <c r="F22" s="607"/>
      <c r="G22" s="608"/>
      <c r="H22" s="609"/>
      <c r="I22" s="610"/>
      <c r="J22" s="611"/>
      <c r="K22" s="611"/>
      <c r="L22" s="612"/>
      <c r="M22" s="4"/>
    </row>
    <row r="23" spans="1:13" ht="12.75" customHeight="1">
      <c r="A23" s="572" t="s">
        <v>487</v>
      </c>
      <c r="B23" s="573">
        <f>B24</f>
        <v>12680.73</v>
      </c>
      <c r="C23" s="573">
        <f>B23/23.25</f>
        <v>545.4077419354838</v>
      </c>
      <c r="D23" s="573">
        <f>D24</f>
        <v>14429.06</v>
      </c>
      <c r="E23" s="573">
        <f>D23/23.25</f>
        <v>620.6047311827957</v>
      </c>
      <c r="F23" s="574">
        <v>288336</v>
      </c>
      <c r="G23" s="574">
        <v>288336</v>
      </c>
      <c r="H23" s="575">
        <f>(G23/$G$7)*100</f>
        <v>19.257152741647758</v>
      </c>
      <c r="I23" s="575">
        <f>(G23/F25)*100</f>
        <v>29.80352594846691</v>
      </c>
      <c r="J23" s="576">
        <f>J7</f>
        <v>478.9</v>
      </c>
      <c r="K23" s="577">
        <f>(J23/C23-1)*100</f>
        <v>-12.1941323567334</v>
      </c>
      <c r="L23" s="578">
        <f>(J23/E23-1)*100</f>
        <v>-22.833330792165263</v>
      </c>
      <c r="M23" s="4"/>
    </row>
    <row r="24" spans="1:13" s="488" customFormat="1" ht="12.75" customHeight="1">
      <c r="A24" s="1144" t="s">
        <v>590</v>
      </c>
      <c r="B24" s="599">
        <v>12680.73</v>
      </c>
      <c r="C24" s="599">
        <f>B24/35</f>
        <v>362.30657142857143</v>
      </c>
      <c r="D24" s="599">
        <v>14429.06</v>
      </c>
      <c r="E24" s="613">
        <f>D24/35</f>
        <v>412.25885714285715</v>
      </c>
      <c r="F24" s="614"/>
      <c r="G24" s="600"/>
      <c r="H24" s="602"/>
      <c r="I24" s="602"/>
      <c r="J24" s="601"/>
      <c r="K24" s="601"/>
      <c r="L24" s="603"/>
      <c r="M24" s="553"/>
    </row>
    <row r="25" spans="1:13" ht="15" customHeight="1" thickBot="1">
      <c r="A25" s="615" t="s">
        <v>488</v>
      </c>
      <c r="B25" s="616">
        <f>(B15+B21+B23)/3</f>
        <v>11311.266747016862</v>
      </c>
      <c r="C25" s="616">
        <f>B25/22.59</f>
        <v>500.72008618932546</v>
      </c>
      <c r="D25" s="616">
        <f>(D15+D21+D23)/3</f>
        <v>13398.417381343119</v>
      </c>
      <c r="E25" s="616">
        <f>D25/22.59</f>
        <v>593.1127658850429</v>
      </c>
      <c r="F25" s="617">
        <v>967456</v>
      </c>
      <c r="G25" s="617">
        <v>967456</v>
      </c>
      <c r="H25" s="618">
        <f>H15+H23+H21</f>
        <v>62.35125656768581</v>
      </c>
      <c r="I25" s="619">
        <f>I15+I21+I23</f>
        <v>96.49854877121028</v>
      </c>
      <c r="J25" s="620">
        <f>J7</f>
        <v>478.9</v>
      </c>
      <c r="K25" s="621">
        <f>(J25/C25-1)*100</f>
        <v>-4.357741339155141</v>
      </c>
      <c r="L25" s="622">
        <f>(J25/E25-1)*100</f>
        <v>-19.256501032247154</v>
      </c>
      <c r="M25" s="4"/>
    </row>
    <row r="26" spans="1:13" ht="12.75" customHeight="1">
      <c r="A26" s="1143" t="s">
        <v>365</v>
      </c>
      <c r="B26" s="657">
        <v>10527.9</v>
      </c>
      <c r="C26" s="657">
        <f>B26/30</f>
        <v>350.93</v>
      </c>
      <c r="D26" s="657">
        <v>12638.7</v>
      </c>
      <c r="E26" s="658">
        <f>D26/30</f>
        <v>421.29</v>
      </c>
      <c r="F26" s="659"/>
      <c r="G26" s="645"/>
      <c r="H26" s="646"/>
      <c r="I26" s="550"/>
      <c r="J26" s="660"/>
      <c r="K26" s="660"/>
      <c r="L26" s="648"/>
      <c r="M26" s="4"/>
    </row>
    <row r="27" spans="1:13" ht="15" customHeight="1" thickBot="1">
      <c r="A27" s="649" t="s">
        <v>489</v>
      </c>
      <c r="B27" s="661">
        <f>B26</f>
        <v>10527.9</v>
      </c>
      <c r="C27" s="661">
        <f>B27/27.19</f>
        <v>387.1974990805443</v>
      </c>
      <c r="D27" s="661">
        <f>D26</f>
        <v>12638.7</v>
      </c>
      <c r="E27" s="661">
        <f>D27/27.19</f>
        <v>464.82898124310407</v>
      </c>
      <c r="F27" s="651">
        <v>44500</v>
      </c>
      <c r="G27" s="651">
        <v>44500</v>
      </c>
      <c r="H27" s="652">
        <f>(G27/$G$7)*100</f>
        <v>2.9720301904837596</v>
      </c>
      <c r="I27" s="653">
        <f>(G27/F27)*100</f>
        <v>100</v>
      </c>
      <c r="J27" s="654">
        <f>J7</f>
        <v>478.9</v>
      </c>
      <c r="K27" s="655">
        <f>(J27/C27-1)*100</f>
        <v>23.683650110658363</v>
      </c>
      <c r="L27" s="656">
        <f>(J27/E27-1)*100</f>
        <v>3.02713886713033</v>
      </c>
      <c r="M27" s="4"/>
    </row>
    <row r="28" spans="1:13" ht="12.75" customHeight="1">
      <c r="A28" s="1141" t="s">
        <v>366</v>
      </c>
      <c r="B28" s="623">
        <v>9304.08</v>
      </c>
      <c r="C28" s="623">
        <f>B28/30</f>
        <v>310.136</v>
      </c>
      <c r="D28" s="623">
        <v>10880.34</v>
      </c>
      <c r="E28" s="623">
        <f>D28/30</f>
        <v>362.678</v>
      </c>
      <c r="F28" s="624"/>
      <c r="G28" s="624"/>
      <c r="H28" s="625"/>
      <c r="I28" s="602"/>
      <c r="J28" s="626"/>
      <c r="K28" s="626"/>
      <c r="L28" s="627"/>
      <c r="M28" s="4"/>
    </row>
    <row r="29" spans="1:13" ht="15" customHeight="1" thickBot="1">
      <c r="A29" s="615" t="s">
        <v>490</v>
      </c>
      <c r="B29" s="628">
        <f>B28</f>
        <v>9304.08</v>
      </c>
      <c r="C29" s="628">
        <f>B29/18.85</f>
        <v>493.5851458885941</v>
      </c>
      <c r="D29" s="628">
        <f>D28</f>
        <v>10880.34</v>
      </c>
      <c r="E29" s="628">
        <f>D29/18.85</f>
        <v>577.2063660477453</v>
      </c>
      <c r="F29" s="617">
        <v>203490</v>
      </c>
      <c r="G29" s="617">
        <v>203490</v>
      </c>
      <c r="H29" s="629">
        <f>(G29/$G$7)*100</f>
        <v>13.590526369922253</v>
      </c>
      <c r="I29" s="630">
        <f>(G29/F29)*100</f>
        <v>100</v>
      </c>
      <c r="J29" s="631">
        <f>J7</f>
        <v>478.9</v>
      </c>
      <c r="K29" s="632">
        <f>(J29/C29-1)*100</f>
        <v>-2.9752001272559947</v>
      </c>
      <c r="L29" s="633">
        <f>(J29/E29-1)*100</f>
        <v>-17.031407106763197</v>
      </c>
      <c r="M29" s="4"/>
    </row>
    <row r="30" spans="1:13" ht="15" customHeight="1">
      <c r="A30" s="1287" t="s">
        <v>481</v>
      </c>
      <c r="B30" s="657">
        <v>10114.03</v>
      </c>
      <c r="C30" s="657">
        <f>B30/30</f>
        <v>337.13433333333336</v>
      </c>
      <c r="D30" s="657">
        <v>11520.89</v>
      </c>
      <c r="E30" s="658">
        <f>D30/30</f>
        <v>384.0296666666666</v>
      </c>
      <c r="F30" s="659"/>
      <c r="G30" s="659"/>
      <c r="H30" s="646"/>
      <c r="I30" s="550"/>
      <c r="J30" s="660"/>
      <c r="K30" s="660"/>
      <c r="L30" s="648"/>
      <c r="M30" s="4"/>
    </row>
    <row r="31" spans="1:13" ht="15" customHeight="1" thickBot="1">
      <c r="A31" s="649" t="s">
        <v>491</v>
      </c>
      <c r="B31" s="661">
        <f>B30</f>
        <v>10114.03</v>
      </c>
      <c r="C31" s="661">
        <f>B31/18.27</f>
        <v>553.5867542419267</v>
      </c>
      <c r="D31" s="661">
        <f>D30</f>
        <v>11520.89</v>
      </c>
      <c r="E31" s="661">
        <f>D31/18.76</f>
        <v>614.1199360341151</v>
      </c>
      <c r="F31" s="651">
        <v>156601</v>
      </c>
      <c r="G31" s="651">
        <v>156601</v>
      </c>
      <c r="H31" s="652">
        <f>(G31/$G$7)*100</f>
        <v>10.458941569886456</v>
      </c>
      <c r="I31" s="653">
        <f>(G31/F31)*100</f>
        <v>100</v>
      </c>
      <c r="J31" s="654">
        <f>J7</f>
        <v>478.9</v>
      </c>
      <c r="K31" s="655">
        <f>(J31/C31-1)*100</f>
        <v>-13.491427255011113</v>
      </c>
      <c r="L31" s="656">
        <f>(J31/E31-1)*100</f>
        <v>-22.01848989097196</v>
      </c>
      <c r="M31" s="4"/>
    </row>
    <row r="32" spans="1:13" ht="15" customHeight="1" thickBot="1">
      <c r="A32" s="560" t="s">
        <v>374</v>
      </c>
      <c r="B32" s="561">
        <f>(B38+B41)/2</f>
        <v>10750.099267841993</v>
      </c>
      <c r="C32" s="561">
        <f>(C38+C41)/2</f>
        <v>439.2296535067682</v>
      </c>
      <c r="D32" s="561">
        <f>(D38+D41)/2</f>
        <v>12186.599192872069</v>
      </c>
      <c r="E32" s="561">
        <f>(E38+E41)/2</f>
        <v>502.2572358456632</v>
      </c>
      <c r="F32" s="562">
        <f>F38+F41</f>
        <v>361358</v>
      </c>
      <c r="G32" s="541">
        <v>432852</v>
      </c>
      <c r="H32" s="563">
        <f>(G32/$G$32)*100</f>
        <v>100</v>
      </c>
      <c r="I32" s="564">
        <f>(F32/G32)*100</f>
        <v>83.48303808230064</v>
      </c>
      <c r="J32" s="561">
        <f>'8.Cotações'!I16</f>
        <v>422.88</v>
      </c>
      <c r="K32" s="554">
        <f>(J32/C32-1)*100</f>
        <v>-3.722347381656521</v>
      </c>
      <c r="L32" s="555">
        <f>(J32/E32-1)*100</f>
        <v>-15.804100007043953</v>
      </c>
      <c r="M32" s="4"/>
    </row>
    <row r="33" spans="1:13" ht="12.75" customHeight="1">
      <c r="A33" s="568" t="s">
        <v>367</v>
      </c>
      <c r="B33" s="662">
        <v>3960.720400618043</v>
      </c>
      <c r="C33" s="662">
        <f>B33/25</f>
        <v>158.42881602472173</v>
      </c>
      <c r="D33" s="662">
        <v>4744.453725433623</v>
      </c>
      <c r="E33" s="663">
        <f>D33/25</f>
        <v>189.7781490173449</v>
      </c>
      <c r="F33" s="543"/>
      <c r="G33" s="543"/>
      <c r="H33" s="664"/>
      <c r="I33" s="547"/>
      <c r="J33" s="544"/>
      <c r="K33" s="544"/>
      <c r="L33" s="665"/>
      <c r="M33" s="4"/>
    </row>
    <row r="34" spans="1:13" ht="12.75" customHeight="1">
      <c r="A34" s="568" t="s">
        <v>368</v>
      </c>
      <c r="B34" s="662">
        <v>3449.848341595043</v>
      </c>
      <c r="C34" s="662">
        <f>B34/20</f>
        <v>172.49241707975216</v>
      </c>
      <c r="D34" s="662">
        <v>4081.8132032870703</v>
      </c>
      <c r="E34" s="663">
        <f>D34/20</f>
        <v>204.09066016435352</v>
      </c>
      <c r="F34" s="543"/>
      <c r="G34" s="543"/>
      <c r="H34" s="664"/>
      <c r="I34" s="547"/>
      <c r="J34" s="545"/>
      <c r="K34" s="545"/>
      <c r="L34" s="546"/>
      <c r="M34" s="4"/>
    </row>
    <row r="35" spans="1:13" ht="12.75" customHeight="1">
      <c r="A35" s="568" t="s">
        <v>369</v>
      </c>
      <c r="B35" s="662">
        <v>3937.188936206844</v>
      </c>
      <c r="C35" s="662">
        <f>B35/60</f>
        <v>65.6198156034474</v>
      </c>
      <c r="D35" s="1274">
        <v>6462.79</v>
      </c>
      <c r="E35" s="1274">
        <f>D35/60</f>
        <v>107.71316666666667</v>
      </c>
      <c r="F35" s="738"/>
      <c r="G35" s="738"/>
      <c r="H35" s="664"/>
      <c r="I35" s="547"/>
      <c r="J35" s="545"/>
      <c r="K35" s="545"/>
      <c r="L35" s="546"/>
      <c r="M35" s="4"/>
    </row>
    <row r="36" spans="1:13" ht="12.75" customHeight="1">
      <c r="A36" s="1275" t="s">
        <v>581</v>
      </c>
      <c r="B36" s="662">
        <v>9472.02</v>
      </c>
      <c r="C36" s="662">
        <f>B36/70</f>
        <v>135.31457142857144</v>
      </c>
      <c r="D36" s="1274">
        <v>10844.47</v>
      </c>
      <c r="E36" s="663">
        <f>D36/70</f>
        <v>154.921</v>
      </c>
      <c r="F36" s="543"/>
      <c r="G36" s="738"/>
      <c r="H36" s="664"/>
      <c r="I36" s="547"/>
      <c r="J36" s="545"/>
      <c r="K36" s="545"/>
      <c r="L36" s="546"/>
      <c r="M36" s="4"/>
    </row>
    <row r="37" spans="1:13" ht="12.75" customHeight="1">
      <c r="A37" s="1290" t="s">
        <v>582</v>
      </c>
      <c r="B37" s="666">
        <v>9403.24</v>
      </c>
      <c r="C37" s="666">
        <f>B37/65</f>
        <v>144.66523076923076</v>
      </c>
      <c r="D37" s="667">
        <v>11125.04</v>
      </c>
      <c r="E37" s="1291">
        <f>D37/65</f>
        <v>171.15446153846156</v>
      </c>
      <c r="F37" s="552"/>
      <c r="G37" s="548"/>
      <c r="H37" s="668"/>
      <c r="I37" s="550"/>
      <c r="J37" s="549"/>
      <c r="K37" s="549"/>
      <c r="L37" s="551"/>
      <c r="M37" s="4"/>
    </row>
    <row r="38" spans="1:13" ht="15" customHeight="1" thickBot="1">
      <c r="A38" s="649" t="s">
        <v>377</v>
      </c>
      <c r="B38" s="661">
        <f>(SUM(B33:B37))/5</f>
        <v>6044.603535683986</v>
      </c>
      <c r="C38" s="661">
        <f>B38/19.51</f>
        <v>309.820786042234</v>
      </c>
      <c r="D38" s="661">
        <f>(SUM(D33:D37))/5</f>
        <v>7451.713385744139</v>
      </c>
      <c r="E38" s="661">
        <f>D38/19.51</f>
        <v>381.9432796383464</v>
      </c>
      <c r="F38" s="669">
        <v>87657</v>
      </c>
      <c r="G38" s="669">
        <v>87657</v>
      </c>
      <c r="H38" s="652">
        <f>(G38/$G$32)*100</f>
        <v>20.251032685536856</v>
      </c>
      <c r="I38" s="652">
        <f>(F38/G38)*100</f>
        <v>100</v>
      </c>
      <c r="J38" s="654">
        <f>J32</f>
        <v>422.88</v>
      </c>
      <c r="K38" s="1288">
        <f>(J38/C38-1)*100</f>
        <v>36.491810443716986</v>
      </c>
      <c r="L38" s="1289">
        <f>(J38/E38-1)*100</f>
        <v>10.718010381126675</v>
      </c>
      <c r="M38" s="4"/>
    </row>
    <row r="39" spans="1:13" ht="12.75" customHeight="1">
      <c r="A39" s="1279" t="s">
        <v>583</v>
      </c>
      <c r="B39" s="1280">
        <v>15540.4</v>
      </c>
      <c r="C39" s="1280">
        <f>B39/60</f>
        <v>259.00666666666666</v>
      </c>
      <c r="D39" s="1280">
        <v>16985.96</v>
      </c>
      <c r="E39" s="1280">
        <f>D39/60</f>
        <v>283.09933333333333</v>
      </c>
      <c r="F39" s="1281"/>
      <c r="G39" s="1282"/>
      <c r="H39" s="636"/>
      <c r="I39" s="596"/>
      <c r="J39" s="1283"/>
      <c r="K39" s="1283"/>
      <c r="L39" s="1284"/>
      <c r="M39" s="4"/>
    </row>
    <row r="40" spans="1:13" ht="12.75" customHeight="1">
      <c r="A40" s="1277" t="s">
        <v>584</v>
      </c>
      <c r="B40" s="1278">
        <v>15370.79</v>
      </c>
      <c r="C40" s="1278">
        <f>B40/60</f>
        <v>256.17983333333336</v>
      </c>
      <c r="D40" s="1278">
        <v>16857.01</v>
      </c>
      <c r="E40" s="1278">
        <f>D40/60</f>
        <v>280.95016666666663</v>
      </c>
      <c r="F40" s="600"/>
      <c r="G40" s="600"/>
      <c r="H40" s="602"/>
      <c r="I40" s="602"/>
      <c r="J40" s="601"/>
      <c r="K40" s="601"/>
      <c r="L40" s="603"/>
      <c r="M40" s="4"/>
    </row>
    <row r="41" spans="1:13" ht="15" customHeight="1" thickBot="1">
      <c r="A41" s="615" t="s">
        <v>378</v>
      </c>
      <c r="B41" s="628">
        <f>SUM(B39:B40)/2</f>
        <v>15455.595000000001</v>
      </c>
      <c r="C41" s="628">
        <f>B41/27.18</f>
        <v>568.6385209713025</v>
      </c>
      <c r="D41" s="628">
        <f>SUM(D39:D40)/2</f>
        <v>16921.485</v>
      </c>
      <c r="E41" s="628">
        <f>D41/27.18</f>
        <v>622.5711920529801</v>
      </c>
      <c r="F41" s="670">
        <v>273701</v>
      </c>
      <c r="G41" s="671">
        <v>273701</v>
      </c>
      <c r="H41" s="629">
        <f>(G41/$G$32)*100</f>
        <v>63.23200539676379</v>
      </c>
      <c r="I41" s="629">
        <f>(F41/G41)*100</f>
        <v>100</v>
      </c>
      <c r="J41" s="631">
        <f>J32</f>
        <v>422.88</v>
      </c>
      <c r="K41" s="621">
        <f>(J41/C41-1)*100</f>
        <v>-25.63289604832425</v>
      </c>
      <c r="L41" s="622">
        <f>(J41/E41-1)*100</f>
        <v>-32.07523807750915</v>
      </c>
      <c r="M41" s="4"/>
    </row>
    <row r="42" spans="1:8" ht="12.75" customHeight="1">
      <c r="A42" t="s">
        <v>370</v>
      </c>
      <c r="B42" s="556"/>
      <c r="C42" s="556"/>
      <c r="D42" s="569"/>
      <c r="E42" s="569"/>
      <c r="G42" s="557"/>
      <c r="H42" s="558"/>
    </row>
    <row r="43" spans="1:8" ht="12.75" customHeight="1">
      <c r="A43" s="540" t="s">
        <v>492</v>
      </c>
      <c r="B43" s="556"/>
      <c r="C43" s="556"/>
      <c r="D43" s="569"/>
      <c r="E43" s="569"/>
      <c r="G43" s="557"/>
      <c r="H43" s="558"/>
    </row>
    <row r="44" spans="1:8" ht="12.75" customHeight="1">
      <c r="A44" s="540" t="s">
        <v>493</v>
      </c>
      <c r="B44" s="556"/>
      <c r="C44" s="556"/>
      <c r="D44" s="569"/>
      <c r="E44" s="569"/>
      <c r="G44" s="557"/>
      <c r="H44" s="558"/>
    </row>
    <row r="45" spans="1:5" ht="12.75" customHeight="1">
      <c r="A45" s="540" t="s">
        <v>371</v>
      </c>
      <c r="B45" s="559"/>
      <c r="C45" s="559"/>
      <c r="D45" s="559"/>
      <c r="E45" s="559"/>
    </row>
    <row r="46" ht="12.75" customHeight="1"/>
    <row r="47" ht="12.75" customHeight="1"/>
    <row r="48" ht="12.75" customHeight="1"/>
    <row r="49" ht="12.75" customHeight="1"/>
  </sheetData>
  <sheetProtection/>
  <mergeCells count="15">
    <mergeCell ref="A1:L1"/>
    <mergeCell ref="D5:E5"/>
    <mergeCell ref="K5:K6"/>
    <mergeCell ref="L5:L6"/>
    <mergeCell ref="A2:L2"/>
    <mergeCell ref="A4:A6"/>
    <mergeCell ref="B4:E4"/>
    <mergeCell ref="F4:F6"/>
    <mergeCell ref="G4:G6"/>
    <mergeCell ref="H4:H6"/>
    <mergeCell ref="I4:I6"/>
    <mergeCell ref="J4:J6"/>
    <mergeCell ref="K4:L4"/>
    <mergeCell ref="B5:C5"/>
    <mergeCell ref="A3:L3"/>
  </mergeCell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.7109375" style="0" customWidth="1"/>
    <col min="2" max="2" width="9.57421875" style="0" customWidth="1"/>
    <col min="3" max="3" width="36.421875" style="0" customWidth="1"/>
    <col min="4" max="4" width="15.8515625" style="0" customWidth="1"/>
    <col min="5" max="5" width="7.7109375" style="0" customWidth="1"/>
    <col min="6" max="6" width="10.7109375" style="0" customWidth="1"/>
    <col min="7" max="7" width="12.7109375" style="0" customWidth="1"/>
    <col min="8" max="8" width="7.7109375" style="0" customWidth="1"/>
    <col min="9" max="9" width="10.7109375" style="0" customWidth="1"/>
    <col min="10" max="10" width="12.7109375" style="0" customWidth="1"/>
    <col min="11" max="11" width="8.8515625" style="0" customWidth="1"/>
    <col min="12" max="12" width="2.7109375" style="0" customWidth="1"/>
  </cols>
  <sheetData>
    <row r="1" spans="1:12" ht="13.5" customHeight="1">
      <c r="A1" s="1497" t="s">
        <v>421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</row>
    <row r="2" spans="1:12" ht="27" customHeight="1">
      <c r="A2" s="279"/>
      <c r="B2" s="280"/>
      <c r="C2" s="1345"/>
      <c r="D2" s="1345"/>
      <c r="E2" s="1345"/>
      <c r="F2" s="1345"/>
      <c r="G2" s="1345"/>
      <c r="H2" s="1345"/>
      <c r="I2" s="1345"/>
      <c r="J2" s="1345"/>
      <c r="K2" s="281"/>
      <c r="L2" s="279"/>
    </row>
    <row r="3" spans="1:12" ht="14.25" customHeight="1">
      <c r="A3" s="279"/>
      <c r="B3" s="172"/>
      <c r="C3" s="1382" t="s">
        <v>255</v>
      </c>
      <c r="D3" s="1382"/>
      <c r="E3" s="1382"/>
      <c r="F3" s="1382"/>
      <c r="G3" s="1382"/>
      <c r="H3" s="1382"/>
      <c r="I3" s="1382"/>
      <c r="J3" s="1382"/>
      <c r="K3" s="130"/>
      <c r="L3" s="279"/>
    </row>
    <row r="4" spans="1:12" ht="16.5" thickBot="1">
      <c r="A4" s="279"/>
      <c r="B4" s="172"/>
      <c r="C4" s="1382"/>
      <c r="D4" s="1382"/>
      <c r="E4" s="1382"/>
      <c r="F4" s="1382"/>
      <c r="G4" s="1382"/>
      <c r="H4" s="1382"/>
      <c r="I4" s="1382"/>
      <c r="J4" s="1382"/>
      <c r="K4" s="130"/>
      <c r="L4" s="279"/>
    </row>
    <row r="5" spans="1:12" ht="13.5" thickBot="1">
      <c r="A5" s="279"/>
      <c r="B5" s="172"/>
      <c r="C5" s="1500" t="s">
        <v>223</v>
      </c>
      <c r="D5" s="1502" t="s">
        <v>224</v>
      </c>
      <c r="E5" s="1504" t="s">
        <v>225</v>
      </c>
      <c r="F5" s="1498"/>
      <c r="G5" s="1505"/>
      <c r="H5" s="1498" t="s">
        <v>47</v>
      </c>
      <c r="I5" s="1498"/>
      <c r="J5" s="1498"/>
      <c r="K5" s="130"/>
      <c r="L5" s="279"/>
    </row>
    <row r="6" spans="1:12" ht="24.75" customHeight="1" thickBot="1">
      <c r="A6" s="279"/>
      <c r="B6" s="172"/>
      <c r="C6" s="1501"/>
      <c r="D6" s="1503"/>
      <c r="E6" s="182" t="s">
        <v>226</v>
      </c>
      <c r="F6" s="182" t="s">
        <v>227</v>
      </c>
      <c r="G6" s="182" t="s">
        <v>251</v>
      </c>
      <c r="H6" s="182" t="s">
        <v>226</v>
      </c>
      <c r="I6" s="182" t="s">
        <v>227</v>
      </c>
      <c r="J6" s="183" t="s">
        <v>251</v>
      </c>
      <c r="K6" s="130"/>
      <c r="L6" s="279"/>
    </row>
    <row r="7" spans="1:12" ht="26.25" customHeight="1">
      <c r="A7" s="279"/>
      <c r="B7" s="172"/>
      <c r="C7" s="184" t="s">
        <v>252</v>
      </c>
      <c r="D7" s="185" t="s">
        <v>228</v>
      </c>
      <c r="E7" s="186" t="s">
        <v>253</v>
      </c>
      <c r="F7" s="185" t="s">
        <v>229</v>
      </c>
      <c r="G7" s="310">
        <v>64</v>
      </c>
      <c r="H7" s="186" t="s">
        <v>259</v>
      </c>
      <c r="I7" s="186" t="s">
        <v>230</v>
      </c>
      <c r="J7" s="311">
        <v>113</v>
      </c>
      <c r="K7" s="130"/>
      <c r="L7" s="279"/>
    </row>
    <row r="8" spans="1:12" ht="19.5" customHeight="1">
      <c r="A8" s="279"/>
      <c r="B8" s="172"/>
      <c r="C8" s="187" t="s">
        <v>231</v>
      </c>
      <c r="D8" s="188" t="s">
        <v>232</v>
      </c>
      <c r="E8" s="189" t="s">
        <v>253</v>
      </c>
      <c r="F8" s="188" t="s">
        <v>229</v>
      </c>
      <c r="G8" s="312">
        <v>89</v>
      </c>
      <c r="H8" s="189" t="s">
        <v>259</v>
      </c>
      <c r="I8" s="188" t="s">
        <v>233</v>
      </c>
      <c r="J8" s="313">
        <v>157</v>
      </c>
      <c r="K8" s="130"/>
      <c r="L8" s="279"/>
    </row>
    <row r="9" spans="1:12" ht="19.5" customHeight="1">
      <c r="A9" s="279"/>
      <c r="B9" s="172"/>
      <c r="C9" s="187" t="s">
        <v>234</v>
      </c>
      <c r="D9" s="188" t="s">
        <v>235</v>
      </c>
      <c r="E9" s="189" t="s">
        <v>253</v>
      </c>
      <c r="F9" s="188" t="s">
        <v>229</v>
      </c>
      <c r="G9" s="312">
        <v>89</v>
      </c>
      <c r="H9" s="189" t="s">
        <v>259</v>
      </c>
      <c r="I9" s="188" t="s">
        <v>233</v>
      </c>
      <c r="J9" s="313">
        <v>157</v>
      </c>
      <c r="K9" s="130"/>
      <c r="L9" s="279"/>
    </row>
    <row r="10" spans="1:12" ht="19.5" customHeight="1">
      <c r="A10" s="279"/>
      <c r="B10" s="172"/>
      <c r="C10" s="187" t="s">
        <v>236</v>
      </c>
      <c r="D10" s="188" t="s">
        <v>237</v>
      </c>
      <c r="E10" s="189" t="s">
        <v>253</v>
      </c>
      <c r="F10" s="188" t="s">
        <v>229</v>
      </c>
      <c r="G10" s="312">
        <v>89</v>
      </c>
      <c r="H10" s="189" t="s">
        <v>259</v>
      </c>
      <c r="I10" s="188" t="s">
        <v>233</v>
      </c>
      <c r="J10" s="313">
        <v>157</v>
      </c>
      <c r="K10" s="130"/>
      <c r="L10" s="279"/>
    </row>
    <row r="11" spans="1:12" ht="19.5" customHeight="1">
      <c r="A11" s="279"/>
      <c r="B11" s="172"/>
      <c r="C11" s="187" t="s">
        <v>238</v>
      </c>
      <c r="D11" s="188" t="s">
        <v>239</v>
      </c>
      <c r="E11" s="189" t="s">
        <v>253</v>
      </c>
      <c r="F11" s="188" t="s">
        <v>229</v>
      </c>
      <c r="G11" s="312">
        <v>89</v>
      </c>
      <c r="H11" s="189" t="s">
        <v>259</v>
      </c>
      <c r="I11" s="188" t="s">
        <v>233</v>
      </c>
      <c r="J11" s="313">
        <v>157</v>
      </c>
      <c r="K11" s="130"/>
      <c r="L11" s="279"/>
    </row>
    <row r="12" spans="1:12" ht="19.5" customHeight="1">
      <c r="A12" s="279"/>
      <c r="B12" s="172"/>
      <c r="C12" s="187" t="s">
        <v>260</v>
      </c>
      <c r="D12" s="188" t="s">
        <v>240</v>
      </c>
      <c r="E12" s="189" t="s">
        <v>253</v>
      </c>
      <c r="F12" s="188" t="s">
        <v>229</v>
      </c>
      <c r="G12" s="312">
        <v>89</v>
      </c>
      <c r="H12" s="189" t="s">
        <v>259</v>
      </c>
      <c r="I12" s="188" t="s">
        <v>233</v>
      </c>
      <c r="J12" s="313">
        <v>157</v>
      </c>
      <c r="K12" s="130"/>
      <c r="L12" s="279"/>
    </row>
    <row r="13" spans="1:12" ht="19.5" customHeight="1">
      <c r="A13" s="279"/>
      <c r="B13" s="172"/>
      <c r="C13" s="187" t="s">
        <v>241</v>
      </c>
      <c r="D13" s="188" t="s">
        <v>242</v>
      </c>
      <c r="E13" s="189" t="s">
        <v>253</v>
      </c>
      <c r="F13" s="188" t="s">
        <v>229</v>
      </c>
      <c r="G13" s="312">
        <v>124.4</v>
      </c>
      <c r="H13" s="189" t="s">
        <v>259</v>
      </c>
      <c r="I13" s="188" t="s">
        <v>233</v>
      </c>
      <c r="J13" s="313">
        <v>211.75</v>
      </c>
      <c r="K13" s="130"/>
      <c r="L13" s="279"/>
    </row>
    <row r="14" spans="1:12" ht="32.25" customHeight="1">
      <c r="A14" s="279"/>
      <c r="B14" s="172"/>
      <c r="C14" s="190" t="s">
        <v>254</v>
      </c>
      <c r="D14" s="189" t="s">
        <v>243</v>
      </c>
      <c r="E14" s="189" t="s">
        <v>253</v>
      </c>
      <c r="F14" s="188" t="s">
        <v>229</v>
      </c>
      <c r="G14" s="312">
        <v>156.57</v>
      </c>
      <c r="H14" s="189" t="s">
        <v>259</v>
      </c>
      <c r="I14" s="188" t="s">
        <v>233</v>
      </c>
      <c r="J14" s="313">
        <v>261.69</v>
      </c>
      <c r="K14" s="130"/>
      <c r="L14" s="279"/>
    </row>
    <row r="15" spans="1:12" ht="22.5" customHeight="1">
      <c r="A15" s="279"/>
      <c r="B15" s="172"/>
      <c r="C15" s="187" t="s">
        <v>244</v>
      </c>
      <c r="D15" s="188" t="s">
        <v>243</v>
      </c>
      <c r="E15" s="189" t="s">
        <v>253</v>
      </c>
      <c r="F15" s="188" t="s">
        <v>229</v>
      </c>
      <c r="G15" s="312">
        <v>156.57</v>
      </c>
      <c r="H15" s="189" t="s">
        <v>259</v>
      </c>
      <c r="I15" s="189" t="s">
        <v>229</v>
      </c>
      <c r="J15" s="313">
        <v>261.69</v>
      </c>
      <c r="K15" s="130"/>
      <c r="L15" s="279"/>
    </row>
    <row r="16" spans="1:12" ht="25.5" customHeight="1">
      <c r="A16" s="279"/>
      <c r="B16" s="172"/>
      <c r="C16" s="187" t="s">
        <v>245</v>
      </c>
      <c r="D16" s="188" t="s">
        <v>246</v>
      </c>
      <c r="E16" s="189" t="s">
        <v>253</v>
      </c>
      <c r="F16" s="188" t="s">
        <v>229</v>
      </c>
      <c r="G16" s="312">
        <v>156.57</v>
      </c>
      <c r="H16" s="189" t="s">
        <v>259</v>
      </c>
      <c r="I16" s="189" t="s">
        <v>229</v>
      </c>
      <c r="J16" s="313">
        <v>261.69</v>
      </c>
      <c r="K16" s="130"/>
      <c r="L16" s="279"/>
    </row>
    <row r="17" spans="1:12" ht="22.5" customHeight="1">
      <c r="A17" s="279"/>
      <c r="B17" s="172"/>
      <c r="C17" s="187" t="s">
        <v>247</v>
      </c>
      <c r="D17" s="188" t="s">
        <v>248</v>
      </c>
      <c r="E17" s="189" t="s">
        <v>253</v>
      </c>
      <c r="F17" s="188" t="s">
        <v>229</v>
      </c>
      <c r="G17" s="312">
        <v>156.57</v>
      </c>
      <c r="H17" s="189" t="s">
        <v>259</v>
      </c>
      <c r="I17" s="189" t="s">
        <v>229</v>
      </c>
      <c r="J17" s="313">
        <v>307</v>
      </c>
      <c r="K17" s="130"/>
      <c r="L17" s="279"/>
    </row>
    <row r="18" spans="1:12" ht="22.5" customHeight="1">
      <c r="A18" s="279"/>
      <c r="B18" s="172"/>
      <c r="C18" s="187" t="s">
        <v>249</v>
      </c>
      <c r="D18" s="188" t="s">
        <v>250</v>
      </c>
      <c r="E18" s="189" t="s">
        <v>253</v>
      </c>
      <c r="F18" s="188" t="s">
        <v>229</v>
      </c>
      <c r="G18" s="312">
        <v>180.8</v>
      </c>
      <c r="H18" s="189" t="s">
        <v>259</v>
      </c>
      <c r="I18" s="189" t="s">
        <v>229</v>
      </c>
      <c r="J18" s="313">
        <v>307</v>
      </c>
      <c r="K18" s="130"/>
      <c r="L18" s="279"/>
    </row>
    <row r="19" spans="1:12" ht="22.5" customHeight="1">
      <c r="A19" s="279"/>
      <c r="B19" s="172"/>
      <c r="C19" s="190" t="s">
        <v>304</v>
      </c>
      <c r="D19" s="188" t="s">
        <v>305</v>
      </c>
      <c r="E19" s="189" t="s">
        <v>253</v>
      </c>
      <c r="F19" s="188" t="s">
        <v>229</v>
      </c>
      <c r="G19" s="312">
        <v>193.54</v>
      </c>
      <c r="H19" s="189" t="s">
        <v>259</v>
      </c>
      <c r="I19" s="189" t="s">
        <v>229</v>
      </c>
      <c r="J19" s="313">
        <v>307</v>
      </c>
      <c r="K19" s="130"/>
      <c r="L19" s="279"/>
    </row>
    <row r="20" spans="1:12" ht="22.5" customHeight="1" thickBot="1">
      <c r="A20" s="279"/>
      <c r="B20" s="172"/>
      <c r="C20" s="1146" t="s">
        <v>501</v>
      </c>
      <c r="D20" s="1147" t="s">
        <v>500</v>
      </c>
      <c r="E20" s="1148" t="s">
        <v>253</v>
      </c>
      <c r="F20" s="1148" t="s">
        <v>229</v>
      </c>
      <c r="G20" s="1149">
        <v>307</v>
      </c>
      <c r="H20" s="1150" t="s">
        <v>259</v>
      </c>
      <c r="I20" s="1150" t="s">
        <v>229</v>
      </c>
      <c r="J20" s="1151">
        <v>330.24</v>
      </c>
      <c r="K20" s="130"/>
      <c r="L20" s="279"/>
    </row>
    <row r="21" spans="1:12" ht="12" customHeight="1">
      <c r="A21" s="279"/>
      <c r="B21" s="172"/>
      <c r="C21" s="1499" t="s">
        <v>256</v>
      </c>
      <c r="D21" s="1499"/>
      <c r="E21" s="1499"/>
      <c r="F21" s="1499"/>
      <c r="G21" s="179"/>
      <c r="H21" s="179"/>
      <c r="I21" s="179"/>
      <c r="J21" s="179"/>
      <c r="K21" s="130"/>
      <c r="L21" s="279"/>
    </row>
    <row r="22" spans="1:12" ht="12" customHeight="1">
      <c r="A22" s="279"/>
      <c r="B22" s="172"/>
      <c r="C22" s="181" t="s">
        <v>257</v>
      </c>
      <c r="D22" s="179"/>
      <c r="E22" s="179"/>
      <c r="F22" s="179"/>
      <c r="G22" s="179"/>
      <c r="H22" s="179"/>
      <c r="I22" s="179"/>
      <c r="J22" s="179"/>
      <c r="K22" s="130"/>
      <c r="L22" s="279"/>
    </row>
    <row r="23" spans="1:12" ht="12" customHeight="1">
      <c r="A23" s="279"/>
      <c r="B23" s="172"/>
      <c r="C23" s="133" t="s">
        <v>258</v>
      </c>
      <c r="D23" s="179"/>
      <c r="E23" s="179"/>
      <c r="F23" s="179"/>
      <c r="G23" s="179"/>
      <c r="H23" s="179"/>
      <c r="I23" s="179"/>
      <c r="J23" s="179"/>
      <c r="K23" s="130"/>
      <c r="L23" s="279"/>
    </row>
    <row r="24" spans="1:12" ht="6" customHeight="1">
      <c r="A24" s="279"/>
      <c r="B24" s="111"/>
      <c r="C24" s="112"/>
      <c r="D24" s="113"/>
      <c r="E24" s="113"/>
      <c r="F24" s="113"/>
      <c r="G24" s="113"/>
      <c r="H24" s="113"/>
      <c r="I24" s="113"/>
      <c r="J24" s="113"/>
      <c r="K24" s="131"/>
      <c r="L24" s="279"/>
    </row>
    <row r="25" spans="1:12" ht="12.75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</row>
  </sheetData>
  <sheetProtection/>
  <mergeCells count="9">
    <mergeCell ref="A1:L1"/>
    <mergeCell ref="H5:J5"/>
    <mergeCell ref="C21:F21"/>
    <mergeCell ref="C2:J2"/>
    <mergeCell ref="C4:J4"/>
    <mergeCell ref="C5:C6"/>
    <mergeCell ref="D5:D6"/>
    <mergeCell ref="E5:G5"/>
    <mergeCell ref="C3:J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2" width="2.7109375" style="1" customWidth="1"/>
    <col min="3" max="3" width="8.7109375" style="1" customWidth="1"/>
    <col min="4" max="4" width="19.7109375" style="27" customWidth="1"/>
    <col min="5" max="6" width="10.7109375" style="27" customWidth="1"/>
    <col min="7" max="13" width="6.7109375" style="27" customWidth="1"/>
    <col min="14" max="15" width="7.7109375" style="27" bestFit="1" customWidth="1"/>
    <col min="16" max="16" width="6.28125" style="27" bestFit="1" customWidth="1"/>
    <col min="17" max="18" width="2.7109375" style="1" customWidth="1"/>
    <col min="19" max="16384" width="9.140625" style="1" customWidth="1"/>
  </cols>
  <sheetData>
    <row r="1" spans="1:18" ht="14.25" customHeight="1">
      <c r="A1" s="1506" t="s">
        <v>422</v>
      </c>
      <c r="B1" s="1506"/>
      <c r="C1" s="1506"/>
      <c r="D1" s="1506"/>
      <c r="E1" s="1506"/>
      <c r="F1" s="1506"/>
      <c r="G1" s="1506"/>
      <c r="H1" s="1506"/>
      <c r="I1" s="1506"/>
      <c r="J1" s="1506"/>
      <c r="K1" s="1506"/>
      <c r="L1" s="1506"/>
      <c r="M1" s="1506"/>
      <c r="N1" s="1506"/>
      <c r="O1" s="1506"/>
      <c r="P1" s="1506"/>
      <c r="Q1" s="1506"/>
      <c r="R1" s="1506"/>
    </row>
    <row r="2" spans="1:18" ht="15.75">
      <c r="A2" s="431"/>
      <c r="B2" s="196"/>
      <c r="C2" s="1515" t="s">
        <v>383</v>
      </c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79"/>
      <c r="R2" s="57"/>
    </row>
    <row r="3" spans="1:18" ht="12.75" customHeight="1" thickBot="1">
      <c r="A3" s="431"/>
      <c r="B3" s="196"/>
      <c r="C3" s="1516" t="s">
        <v>424</v>
      </c>
      <c r="D3" s="1516"/>
      <c r="E3" s="1516"/>
      <c r="F3" s="1516"/>
      <c r="G3" s="1516"/>
      <c r="H3" s="1516"/>
      <c r="I3" s="1516"/>
      <c r="J3" s="1516"/>
      <c r="K3" s="1516"/>
      <c r="L3" s="1516"/>
      <c r="M3" s="1516"/>
      <c r="N3" s="1516"/>
      <c r="O3" s="1516"/>
      <c r="P3" s="1516"/>
      <c r="Q3" s="179"/>
      <c r="R3" s="57"/>
    </row>
    <row r="4" spans="1:18" ht="10.5" customHeight="1" thickBot="1">
      <c r="A4" s="431"/>
      <c r="B4" s="196"/>
      <c r="C4" s="1514" t="s">
        <v>393</v>
      </c>
      <c r="D4" s="1514"/>
      <c r="E4" s="1518" t="s">
        <v>392</v>
      </c>
      <c r="F4" s="1519"/>
      <c r="G4" s="1520"/>
      <c r="H4" s="1511" t="s">
        <v>436</v>
      </c>
      <c r="I4" s="1512"/>
      <c r="J4" s="1512"/>
      <c r="K4" s="1512"/>
      <c r="L4" s="1512"/>
      <c r="M4" s="1513"/>
      <c r="N4" s="1514" t="s">
        <v>333</v>
      </c>
      <c r="O4" s="1514"/>
      <c r="P4" s="1514"/>
      <c r="Q4" s="125"/>
      <c r="R4" s="57"/>
    </row>
    <row r="5" spans="1:18" ht="13.5" customHeight="1">
      <c r="A5" s="431"/>
      <c r="B5" s="196"/>
      <c r="C5" s="1514"/>
      <c r="D5" s="1514"/>
      <c r="E5" s="1521" t="s">
        <v>390</v>
      </c>
      <c r="F5" s="1522"/>
      <c r="G5" s="1523"/>
      <c r="H5" s="1522" t="s">
        <v>444</v>
      </c>
      <c r="I5" s="1522"/>
      <c r="J5" s="1523"/>
      <c r="K5" s="1521" t="s">
        <v>443</v>
      </c>
      <c r="L5" s="1522"/>
      <c r="M5" s="1523"/>
      <c r="N5" s="1521" t="s">
        <v>391</v>
      </c>
      <c r="O5" s="1522"/>
      <c r="P5" s="1522"/>
      <c r="Q5" s="125"/>
      <c r="R5" s="57"/>
    </row>
    <row r="6" spans="1:18" ht="10.5" customHeight="1" thickBot="1">
      <c r="A6" s="431"/>
      <c r="B6" s="196"/>
      <c r="C6" s="1517"/>
      <c r="D6" s="1517"/>
      <c r="E6" s="866">
        <v>2015</v>
      </c>
      <c r="F6" s="867">
        <v>2016</v>
      </c>
      <c r="G6" s="868" t="s">
        <v>12</v>
      </c>
      <c r="H6" s="866">
        <v>2015</v>
      </c>
      <c r="I6" s="867">
        <v>2016</v>
      </c>
      <c r="J6" s="868" t="s">
        <v>12</v>
      </c>
      <c r="K6" s="866">
        <v>2015</v>
      </c>
      <c r="L6" s="867">
        <v>2016</v>
      </c>
      <c r="M6" s="868" t="s">
        <v>12</v>
      </c>
      <c r="N6" s="869">
        <v>2015</v>
      </c>
      <c r="O6" s="867">
        <v>2016</v>
      </c>
      <c r="P6" s="870" t="s">
        <v>12</v>
      </c>
      <c r="Q6" s="125"/>
      <c r="R6" s="57"/>
    </row>
    <row r="7" spans="1:18" ht="13.5" customHeight="1">
      <c r="A7" s="431"/>
      <c r="B7" s="196"/>
      <c r="C7" s="859" t="s">
        <v>3</v>
      </c>
      <c r="D7" s="994" t="s">
        <v>48</v>
      </c>
      <c r="E7" s="934">
        <v>87657</v>
      </c>
      <c r="F7" s="876">
        <v>87657</v>
      </c>
      <c r="G7" s="1111">
        <f>(F7/E7-1)*100</f>
        <v>0</v>
      </c>
      <c r="H7" s="931">
        <v>0</v>
      </c>
      <c r="I7" s="877">
        <v>0</v>
      </c>
      <c r="J7" s="882">
        <v>0</v>
      </c>
      <c r="K7" s="879">
        <f>N7*1000/E7</f>
        <v>19.66642709652395</v>
      </c>
      <c r="L7" s="880">
        <f>O7*1000/F7</f>
        <v>18.559841199219687</v>
      </c>
      <c r="M7" s="878">
        <f>(L7/K7-1)*100</f>
        <v>-5.626776495156327</v>
      </c>
      <c r="N7" s="940">
        <v>1723.9</v>
      </c>
      <c r="O7" s="881">
        <v>1626.9</v>
      </c>
      <c r="P7" s="882">
        <f aca="true" t="shared" si="0" ref="P7:P35">(O7/N7-1)*100</f>
        <v>-5.626776495156327</v>
      </c>
      <c r="Q7" s="125"/>
      <c r="R7" s="57"/>
    </row>
    <row r="8" spans="1:18" ht="13.5" customHeight="1">
      <c r="A8" s="431"/>
      <c r="B8" s="196"/>
      <c r="C8" s="862" t="s">
        <v>4</v>
      </c>
      <c r="D8" s="995" t="s">
        <v>48</v>
      </c>
      <c r="E8" s="935">
        <v>1243</v>
      </c>
      <c r="F8" s="884">
        <v>667</v>
      </c>
      <c r="G8" s="1112">
        <f>(F8/E8-1)*100</f>
        <v>-46.33950120675785</v>
      </c>
      <c r="H8" s="932">
        <v>0</v>
      </c>
      <c r="I8" s="885">
        <v>0</v>
      </c>
      <c r="J8" s="901">
        <v>0</v>
      </c>
      <c r="K8" s="887">
        <f>N8*1000/E8</f>
        <v>13.35478680611424</v>
      </c>
      <c r="L8" s="902">
        <f>O8*1000/F8</f>
        <v>16.94152923538231</v>
      </c>
      <c r="M8" s="886">
        <f>(L8/K8-1)*100</f>
        <v>26.857354455302463</v>
      </c>
      <c r="N8" s="938">
        <v>16.6</v>
      </c>
      <c r="O8" s="899">
        <v>11.3</v>
      </c>
      <c r="P8" s="901">
        <f t="shared" si="0"/>
        <v>-31.92771084337349</v>
      </c>
      <c r="Q8" s="125"/>
      <c r="R8" s="57"/>
    </row>
    <row r="9" spans="1:18" ht="13.5" customHeight="1">
      <c r="A9" s="431"/>
      <c r="B9" s="196"/>
      <c r="C9" s="1524" t="s">
        <v>5</v>
      </c>
      <c r="D9" s="971" t="s">
        <v>380</v>
      </c>
      <c r="E9" s="980">
        <v>9129</v>
      </c>
      <c r="F9" s="981">
        <v>10000</v>
      </c>
      <c r="G9" s="1113">
        <f aca="true" t="shared" si="1" ref="G9:G35">(F9/E9-1)*100</f>
        <v>9.541023113155877</v>
      </c>
      <c r="H9" s="948">
        <f aca="true" t="shared" si="2" ref="H9:I30">N9*1000/E9</f>
        <v>37.002957607624055</v>
      </c>
      <c r="I9" s="950">
        <f t="shared" si="2"/>
        <v>34</v>
      </c>
      <c r="J9" s="929">
        <f>(I9/H9-1)*100</f>
        <v>-8.115452930728239</v>
      </c>
      <c r="K9" s="987">
        <v>0</v>
      </c>
      <c r="L9" s="945">
        <v>0</v>
      </c>
      <c r="M9" s="939">
        <v>0</v>
      </c>
      <c r="N9" s="990">
        <v>337.8</v>
      </c>
      <c r="O9" s="992">
        <v>340</v>
      </c>
      <c r="P9" s="963">
        <f t="shared" si="0"/>
        <v>0.6512729425695696</v>
      </c>
      <c r="Q9" s="125"/>
      <c r="R9" s="57"/>
    </row>
    <row r="10" spans="1:18" ht="13.5" customHeight="1">
      <c r="A10" s="431"/>
      <c r="B10" s="196"/>
      <c r="C10" s="1525"/>
      <c r="D10" s="971" t="s">
        <v>381</v>
      </c>
      <c r="E10" s="975">
        <v>94321</v>
      </c>
      <c r="F10" s="965">
        <v>93173</v>
      </c>
      <c r="G10" s="1113">
        <f t="shared" si="1"/>
        <v>-1.2171202595392283</v>
      </c>
      <c r="H10" s="925">
        <f t="shared" si="2"/>
        <v>8.739305138834405</v>
      </c>
      <c r="I10" s="967">
        <f t="shared" si="2"/>
        <v>10.699451557854744</v>
      </c>
      <c r="J10" s="929">
        <f>(I10/H10-1)*100</f>
        <v>22.429087757905776</v>
      </c>
      <c r="K10" s="978">
        <v>0</v>
      </c>
      <c r="L10" s="946">
        <v>0</v>
      </c>
      <c r="M10" s="939">
        <v>0</v>
      </c>
      <c r="N10" s="896">
        <v>824.3</v>
      </c>
      <c r="O10" s="968">
        <v>996.9</v>
      </c>
      <c r="P10" s="963">
        <f t="shared" si="0"/>
        <v>20.93897852723523</v>
      </c>
      <c r="Q10" s="125"/>
      <c r="R10" s="57"/>
    </row>
    <row r="11" spans="1:18" ht="13.5" customHeight="1">
      <c r="A11" s="431"/>
      <c r="B11" s="196"/>
      <c r="C11" s="1525"/>
      <c r="D11" s="999" t="s">
        <v>382</v>
      </c>
      <c r="E11" s="959">
        <v>35228</v>
      </c>
      <c r="F11" s="983">
        <v>38750.8</v>
      </c>
      <c r="G11" s="1114">
        <f t="shared" si="1"/>
        <v>10.000000000000009</v>
      </c>
      <c r="H11" s="891">
        <v>0</v>
      </c>
      <c r="I11" s="892">
        <v>0</v>
      </c>
      <c r="J11" s="958">
        <v>0</v>
      </c>
      <c r="K11" s="894">
        <f>N11*1000/E11</f>
        <v>33.59827410014761</v>
      </c>
      <c r="L11" s="909">
        <f>O11*1000/F11</f>
        <v>33.59930633690143</v>
      </c>
      <c r="M11" s="957">
        <f>(L11/K11-1)*100</f>
        <v>0.0030722910073777143</v>
      </c>
      <c r="N11" s="991">
        <v>1183.6</v>
      </c>
      <c r="O11" s="993">
        <v>1302</v>
      </c>
      <c r="P11" s="973">
        <f t="shared" si="0"/>
        <v>10.003379520108147</v>
      </c>
      <c r="Q11" s="125"/>
      <c r="R11" s="57"/>
    </row>
    <row r="12" spans="1:18" ht="13.5" customHeight="1">
      <c r="A12" s="431"/>
      <c r="B12" s="196"/>
      <c r="C12" s="1526"/>
      <c r="D12" s="930" t="s">
        <v>127</v>
      </c>
      <c r="E12" s="889">
        <f>E9+E10+E11</f>
        <v>138678</v>
      </c>
      <c r="F12" s="982">
        <f>F9+F10+F11</f>
        <v>141923.8</v>
      </c>
      <c r="G12" s="1115">
        <f>(F12/E12-1)*100</f>
        <v>2.3405298605402303</v>
      </c>
      <c r="H12" s="926">
        <f>SUM(N9+N10)*1000/SUM(E9+E10)</f>
        <v>11.233446109231513</v>
      </c>
      <c r="I12" s="986">
        <f>SUM(O9+O10)*1000/SUM(F9+F10)</f>
        <v>12.957847498861137</v>
      </c>
      <c r="J12" s="984">
        <f>(I12/H12-1)*100</f>
        <v>15.350600099577004</v>
      </c>
      <c r="K12" s="926">
        <f>N11*1000/E11</f>
        <v>33.59827410014761</v>
      </c>
      <c r="L12" s="986">
        <f>O11*1000/F11</f>
        <v>33.59930633690143</v>
      </c>
      <c r="M12" s="988">
        <f>(L12/K12-1)*100</f>
        <v>0.0030722910073777143</v>
      </c>
      <c r="N12" s="889">
        <f>N9+N10+N11</f>
        <v>2345.7</v>
      </c>
      <c r="O12" s="982">
        <f>O9+O10+O11</f>
        <v>2638.9</v>
      </c>
      <c r="P12" s="984">
        <f>(O12/N12-1)*100</f>
        <v>12.499467110031137</v>
      </c>
      <c r="Q12" s="125"/>
      <c r="R12" s="57"/>
    </row>
    <row r="13" spans="1:18" ht="13.5" customHeight="1">
      <c r="A13" s="431"/>
      <c r="B13" s="196"/>
      <c r="C13" s="1524" t="s">
        <v>9</v>
      </c>
      <c r="D13" s="996" t="s">
        <v>47</v>
      </c>
      <c r="E13" s="975">
        <v>111</v>
      </c>
      <c r="F13" s="965">
        <v>133</v>
      </c>
      <c r="G13" s="1113">
        <f t="shared" si="1"/>
        <v>19.819819819819816</v>
      </c>
      <c r="H13" s="925">
        <f t="shared" si="2"/>
        <v>15.315315315315315</v>
      </c>
      <c r="I13" s="967">
        <f t="shared" si="2"/>
        <v>21.804511278195488</v>
      </c>
      <c r="J13" s="929">
        <f aca="true" t="shared" si="3" ref="J13:J30">(I13/H13-1)*100</f>
        <v>42.37063246351171</v>
      </c>
      <c r="K13" s="978">
        <v>0</v>
      </c>
      <c r="L13" s="946">
        <v>0</v>
      </c>
      <c r="M13" s="939">
        <v>0</v>
      </c>
      <c r="N13" s="896">
        <v>1.7</v>
      </c>
      <c r="O13" s="968">
        <v>2.9</v>
      </c>
      <c r="P13" s="963">
        <f t="shared" si="0"/>
        <v>70.58823529411764</v>
      </c>
      <c r="Q13" s="125"/>
      <c r="R13" s="57"/>
    </row>
    <row r="14" spans="1:18" ht="13.5" customHeight="1">
      <c r="A14" s="431"/>
      <c r="B14" s="196"/>
      <c r="C14" s="1525"/>
      <c r="D14" s="998" t="s">
        <v>48</v>
      </c>
      <c r="E14" s="959">
        <v>20078</v>
      </c>
      <c r="F14" s="983">
        <v>13639</v>
      </c>
      <c r="G14" s="1114">
        <f t="shared" si="1"/>
        <v>-32.06992728359398</v>
      </c>
      <c r="H14" s="891">
        <v>0</v>
      </c>
      <c r="I14" s="892">
        <v>0</v>
      </c>
      <c r="J14" s="958">
        <v>0</v>
      </c>
      <c r="K14" s="894">
        <f>N14*1000/E14</f>
        <v>6.28548660225122</v>
      </c>
      <c r="L14" s="909">
        <f>O14*1000/F14</f>
        <v>8.505022362343281</v>
      </c>
      <c r="M14" s="957">
        <f>(L14/K14-1)*100</f>
        <v>35.31207527030777</v>
      </c>
      <c r="N14" s="991">
        <v>126.2</v>
      </c>
      <c r="O14" s="993">
        <v>116</v>
      </c>
      <c r="P14" s="973">
        <f t="shared" si="0"/>
        <v>-8.082408874801905</v>
      </c>
      <c r="Q14" s="125"/>
      <c r="R14" s="57"/>
    </row>
    <row r="15" spans="1:18" ht="13.5" customHeight="1">
      <c r="A15" s="431"/>
      <c r="B15" s="196"/>
      <c r="C15" s="1526"/>
      <c r="D15" s="930" t="s">
        <v>127</v>
      </c>
      <c r="E15" s="927">
        <f>E13+E14</f>
        <v>20189</v>
      </c>
      <c r="F15" s="888">
        <f>F13+F14</f>
        <v>13772</v>
      </c>
      <c r="G15" s="1115">
        <f>(F15/E15-1)*100</f>
        <v>-31.784635197384713</v>
      </c>
      <c r="H15" s="926">
        <f>N13*1000/E13</f>
        <v>15.315315315315315</v>
      </c>
      <c r="I15" s="986">
        <f>O13*1000/F13</f>
        <v>21.804511278195488</v>
      </c>
      <c r="J15" s="984">
        <f>(I15/H15-1)*100</f>
        <v>42.37063246351171</v>
      </c>
      <c r="K15" s="926">
        <f>N14*1000/E14</f>
        <v>6.28548660225122</v>
      </c>
      <c r="L15" s="986">
        <f>O14*1000/F14</f>
        <v>8.505022362343281</v>
      </c>
      <c r="M15" s="988">
        <f>(L15/K15-1)*100</f>
        <v>35.31207527030777</v>
      </c>
      <c r="N15" s="927">
        <f>N13+N14</f>
        <v>127.9</v>
      </c>
      <c r="O15" s="888">
        <f>O13+O14</f>
        <v>118.9</v>
      </c>
      <c r="P15" s="984">
        <f>(O15/N15-1)*100</f>
        <v>-7.036747458952308</v>
      </c>
      <c r="Q15" s="125"/>
      <c r="R15" s="57"/>
    </row>
    <row r="16" spans="1:18" ht="13.5" customHeight="1">
      <c r="A16" s="431"/>
      <c r="B16" s="196"/>
      <c r="C16" s="865" t="s">
        <v>10</v>
      </c>
      <c r="D16" s="997" t="s">
        <v>47</v>
      </c>
      <c r="E16" s="935">
        <v>6175</v>
      </c>
      <c r="F16" s="883">
        <v>5782</v>
      </c>
      <c r="G16" s="1116">
        <f t="shared" si="1"/>
        <v>-6.364372469635626</v>
      </c>
      <c r="H16" s="887">
        <f t="shared" si="2"/>
        <v>36.63157894736842</v>
      </c>
      <c r="I16" s="904">
        <f t="shared" si="2"/>
        <v>38.5852646143203</v>
      </c>
      <c r="J16" s="985">
        <f t="shared" si="3"/>
        <v>5.333337309207731</v>
      </c>
      <c r="K16" s="898">
        <v>0</v>
      </c>
      <c r="L16" s="883">
        <v>0</v>
      </c>
      <c r="M16" s="989">
        <v>0</v>
      </c>
      <c r="N16" s="898">
        <v>226.2</v>
      </c>
      <c r="O16" s="904">
        <v>223.1</v>
      </c>
      <c r="P16" s="985">
        <f t="shared" si="0"/>
        <v>-1.3704686118479192</v>
      </c>
      <c r="Q16" s="125"/>
      <c r="R16" s="57"/>
    </row>
    <row r="17" spans="1:18" ht="13.5" customHeight="1">
      <c r="A17" s="431"/>
      <c r="B17" s="196"/>
      <c r="C17" s="1527" t="s">
        <v>7</v>
      </c>
      <c r="D17" s="969" t="s">
        <v>389</v>
      </c>
      <c r="E17" s="975">
        <v>478056</v>
      </c>
      <c r="F17" s="965">
        <v>523041.6</v>
      </c>
      <c r="G17" s="1113">
        <f t="shared" si="1"/>
        <v>9.410110949344851</v>
      </c>
      <c r="H17" s="925">
        <f t="shared" si="2"/>
        <v>22.608857539702463</v>
      </c>
      <c r="I17" s="967">
        <f t="shared" si="2"/>
        <v>28.56312002716419</v>
      </c>
      <c r="J17" s="929">
        <f t="shared" si="3"/>
        <v>26.33597242587644</v>
      </c>
      <c r="K17" s="978">
        <v>0</v>
      </c>
      <c r="L17" s="946">
        <v>0</v>
      </c>
      <c r="M17" s="939">
        <v>0</v>
      </c>
      <c r="N17" s="896">
        <v>10808.3</v>
      </c>
      <c r="O17" s="968">
        <v>14939.7</v>
      </c>
      <c r="P17" s="963">
        <f t="shared" si="0"/>
        <v>38.22432760008514</v>
      </c>
      <c r="Q17" s="125"/>
      <c r="R17" s="57"/>
    </row>
    <row r="18" spans="1:18" ht="13.5" customHeight="1">
      <c r="A18" s="431"/>
      <c r="B18" s="196"/>
      <c r="C18" s="1528"/>
      <c r="D18" s="970" t="s">
        <v>388</v>
      </c>
      <c r="E18" s="975">
        <v>170634</v>
      </c>
      <c r="F18" s="965">
        <v>183273.2</v>
      </c>
      <c r="G18" s="1113">
        <f t="shared" si="1"/>
        <v>7.407199034190137</v>
      </c>
      <c r="H18" s="925">
        <f t="shared" si="2"/>
        <v>24.806896632558576</v>
      </c>
      <c r="I18" s="967">
        <f t="shared" si="2"/>
        <v>36.9977716327319</v>
      </c>
      <c r="J18" s="929">
        <f t="shared" si="3"/>
        <v>49.143087830555274</v>
      </c>
      <c r="K18" s="978">
        <v>0</v>
      </c>
      <c r="L18" s="946">
        <v>0</v>
      </c>
      <c r="M18" s="939">
        <v>0</v>
      </c>
      <c r="N18" s="896">
        <v>4232.9</v>
      </c>
      <c r="O18" s="968">
        <v>6780.7</v>
      </c>
      <c r="P18" s="963">
        <f t="shared" si="0"/>
        <v>60.19041319190155</v>
      </c>
      <c r="Q18" s="125"/>
      <c r="R18" s="57"/>
    </row>
    <row r="19" spans="1:18" ht="13.5" customHeight="1">
      <c r="A19" s="431"/>
      <c r="B19" s="196"/>
      <c r="C19" s="1528"/>
      <c r="D19" s="969" t="s">
        <v>384</v>
      </c>
      <c r="E19" s="975">
        <v>278646</v>
      </c>
      <c r="F19" s="965">
        <v>261081</v>
      </c>
      <c r="G19" s="1113">
        <f t="shared" si="1"/>
        <v>-6.303697164143751</v>
      </c>
      <c r="H19" s="925">
        <f t="shared" si="2"/>
        <v>22.933399366938698</v>
      </c>
      <c r="I19" s="967">
        <f t="shared" si="2"/>
        <v>22.74389940286731</v>
      </c>
      <c r="J19" s="929">
        <f t="shared" si="3"/>
        <v>-0.8263056036279304</v>
      </c>
      <c r="K19" s="978">
        <v>0</v>
      </c>
      <c r="L19" s="946">
        <v>0</v>
      </c>
      <c r="M19" s="939">
        <v>0</v>
      </c>
      <c r="N19" s="896">
        <v>6390.3</v>
      </c>
      <c r="O19" s="968">
        <v>5938</v>
      </c>
      <c r="P19" s="963">
        <f t="shared" si="0"/>
        <v>-7.077914964868636</v>
      </c>
      <c r="Q19" s="125"/>
      <c r="R19" s="57"/>
    </row>
    <row r="20" spans="1:18" ht="13.5" customHeight="1">
      <c r="A20" s="431"/>
      <c r="B20" s="196"/>
      <c r="C20" s="1528"/>
      <c r="D20" s="969" t="s">
        <v>385</v>
      </c>
      <c r="E20" s="975">
        <v>8694</v>
      </c>
      <c r="F20" s="965">
        <v>8403</v>
      </c>
      <c r="G20" s="1113">
        <f t="shared" si="1"/>
        <v>-3.347135955831604</v>
      </c>
      <c r="H20" s="949">
        <v>0</v>
      </c>
      <c r="I20" s="951">
        <v>0</v>
      </c>
      <c r="J20" s="929">
        <v>0</v>
      </c>
      <c r="K20" s="925">
        <f>N20*1000/E20</f>
        <v>25.212790430181734</v>
      </c>
      <c r="L20" s="953">
        <f>O20*1000/F20</f>
        <v>24.634059264548377</v>
      </c>
      <c r="M20" s="939">
        <f>(L20/K20-1)*100</f>
        <v>-2.2953872052994595</v>
      </c>
      <c r="N20" s="896">
        <v>219.2</v>
      </c>
      <c r="O20" s="968">
        <v>207</v>
      </c>
      <c r="P20" s="963">
        <f t="shared" si="0"/>
        <v>-5.565693430656927</v>
      </c>
      <c r="Q20" s="125"/>
      <c r="R20" s="57"/>
    </row>
    <row r="21" spans="1:18" ht="13.5" customHeight="1">
      <c r="A21" s="431"/>
      <c r="B21" s="196"/>
      <c r="C21" s="1528"/>
      <c r="D21" s="969" t="s">
        <v>386</v>
      </c>
      <c r="E21" s="975">
        <v>28161</v>
      </c>
      <c r="F21" s="965">
        <v>27715</v>
      </c>
      <c r="G21" s="1113"/>
      <c r="H21" s="925">
        <v>0</v>
      </c>
      <c r="I21" s="967">
        <f t="shared" si="2"/>
        <v>18.867039509290997</v>
      </c>
      <c r="J21" s="929">
        <v>0</v>
      </c>
      <c r="K21" s="978">
        <v>0</v>
      </c>
      <c r="L21" s="946">
        <v>0</v>
      </c>
      <c r="M21" s="939">
        <v>0</v>
      </c>
      <c r="N21" s="896">
        <v>534.2</v>
      </c>
      <c r="O21" s="968">
        <v>522.9</v>
      </c>
      <c r="P21" s="963">
        <v>0</v>
      </c>
      <c r="Q21" s="125"/>
      <c r="R21" s="57"/>
    </row>
    <row r="22" spans="1:18" ht="13.5" customHeight="1">
      <c r="A22" s="431"/>
      <c r="B22" s="196"/>
      <c r="C22" s="1528"/>
      <c r="D22" s="972" t="s">
        <v>387</v>
      </c>
      <c r="E22" s="959">
        <v>4681</v>
      </c>
      <c r="F22" s="983">
        <v>4525</v>
      </c>
      <c r="G22" s="1114"/>
      <c r="H22" s="891">
        <v>0</v>
      </c>
      <c r="I22" s="892">
        <v>0</v>
      </c>
      <c r="J22" s="958">
        <v>0</v>
      </c>
      <c r="K22" s="894">
        <v>0</v>
      </c>
      <c r="L22" s="909">
        <f>O22*1000/F22</f>
        <v>24.640883977900554</v>
      </c>
      <c r="M22" s="957">
        <v>0</v>
      </c>
      <c r="N22" s="991">
        <v>118</v>
      </c>
      <c r="O22" s="993">
        <v>111.5</v>
      </c>
      <c r="P22" s="973">
        <v>0</v>
      </c>
      <c r="Q22" s="125"/>
      <c r="R22" s="57"/>
    </row>
    <row r="23" spans="1:18" ht="13.5" customHeight="1">
      <c r="A23" s="431"/>
      <c r="B23" s="196"/>
      <c r="C23" s="1529"/>
      <c r="D23" s="979" t="s">
        <v>127</v>
      </c>
      <c r="E23" s="898">
        <f>E17+E18+E19+E20+E21+E22</f>
        <v>968872</v>
      </c>
      <c r="F23" s="904">
        <f>F17+F18+F19+F20+F21+F22</f>
        <v>1008038.8</v>
      </c>
      <c r="G23" s="1116">
        <f>(F23/E23-1)*100</f>
        <v>4.042515419993564</v>
      </c>
      <c r="H23" s="900">
        <f>SUM(N17+N18+N19+N21)*1000/SUM(E17+E18+E19+E21)</f>
        <v>22.98876919550768</v>
      </c>
      <c r="I23" s="900">
        <f>SUM(O17+O18+O19+O21)*1000/SUM(F17+F18+F19+F21)</f>
        <v>28.319760975360737</v>
      </c>
      <c r="J23" s="901">
        <f>(I23/H23-1)*100</f>
        <v>23.189548490028812</v>
      </c>
      <c r="K23" s="887">
        <f>SUM(N20+N22)*1000/SUM(E20+E22)</f>
        <v>25.21121495327103</v>
      </c>
      <c r="L23" s="900">
        <f>SUM(O20+O22)*1000/SUM(F20+F22)</f>
        <v>24.636448019801982</v>
      </c>
      <c r="M23" s="886">
        <f>(L23/K23-1)*100</f>
        <v>-2.279806564397535</v>
      </c>
      <c r="N23" s="898">
        <f>N17+N18+N19+N20+N21+N22</f>
        <v>22302.9</v>
      </c>
      <c r="O23" s="938">
        <f>O17+O18+O19+O20+O21+O22</f>
        <v>28499.800000000003</v>
      </c>
      <c r="P23" s="901">
        <f>(O23/N23-1)*100</f>
        <v>27.7851759188267</v>
      </c>
      <c r="Q23" s="125"/>
      <c r="R23" s="57"/>
    </row>
    <row r="24" spans="1:18" ht="13.5" customHeight="1">
      <c r="A24" s="431"/>
      <c r="B24" s="196"/>
      <c r="C24" s="1530" t="s">
        <v>29</v>
      </c>
      <c r="D24" s="996" t="s">
        <v>47</v>
      </c>
      <c r="E24" s="975">
        <v>150118</v>
      </c>
      <c r="F24" s="964">
        <v>150025</v>
      </c>
      <c r="G24" s="1113">
        <f t="shared" si="1"/>
        <v>-0.06195126500486703</v>
      </c>
      <c r="H24" s="966">
        <f t="shared" si="2"/>
        <v>19.57793202680558</v>
      </c>
      <c r="I24" s="967">
        <f t="shared" si="2"/>
        <v>23.342776203966007</v>
      </c>
      <c r="J24" s="929">
        <f t="shared" si="3"/>
        <v>19.230040088022072</v>
      </c>
      <c r="K24" s="978">
        <v>0</v>
      </c>
      <c r="L24" s="946">
        <v>0</v>
      </c>
      <c r="M24" s="939">
        <v>0</v>
      </c>
      <c r="N24" s="941">
        <v>2939</v>
      </c>
      <c r="O24" s="968">
        <v>3502</v>
      </c>
      <c r="P24" s="963">
        <f t="shared" si="0"/>
        <v>19.15617556992175</v>
      </c>
      <c r="Q24" s="125"/>
      <c r="R24" s="57"/>
    </row>
    <row r="25" spans="1:18" ht="13.5" customHeight="1">
      <c r="A25" s="431"/>
      <c r="B25" s="196"/>
      <c r="C25" s="1531"/>
      <c r="D25" s="972" t="s">
        <v>48</v>
      </c>
      <c r="E25" s="959">
        <v>283124</v>
      </c>
      <c r="F25" s="960">
        <v>260032</v>
      </c>
      <c r="G25" s="1117">
        <f t="shared" si="1"/>
        <v>-8.156143597858179</v>
      </c>
      <c r="H25" s="903">
        <v>0</v>
      </c>
      <c r="I25" s="905">
        <v>0</v>
      </c>
      <c r="J25" s="976">
        <v>0</v>
      </c>
      <c r="K25" s="894">
        <f>N25*1000/E25</f>
        <v>27.41201734928865</v>
      </c>
      <c r="L25" s="895">
        <f>O25*1000/F25</f>
        <v>22.893336204774798</v>
      </c>
      <c r="M25" s="893">
        <f>(L25/K25-1)*100</f>
        <v>-16.48430718154027</v>
      </c>
      <c r="N25" s="961">
        <v>7761</v>
      </c>
      <c r="O25" s="962">
        <v>5953</v>
      </c>
      <c r="P25" s="897">
        <f t="shared" si="0"/>
        <v>-23.29596701455998</v>
      </c>
      <c r="Q25" s="125"/>
      <c r="R25" s="57"/>
    </row>
    <row r="26" spans="1:18" ht="13.5" customHeight="1">
      <c r="A26" s="431"/>
      <c r="B26" s="196"/>
      <c r="C26" s="1532"/>
      <c r="D26" s="930" t="s">
        <v>127</v>
      </c>
      <c r="E26" s="936">
        <f>E24+E25</f>
        <v>433242</v>
      </c>
      <c r="F26" s="906">
        <f>F24+F25</f>
        <v>410057</v>
      </c>
      <c r="G26" s="1118">
        <f>(F26/E26-1)*100</f>
        <v>-5.351512549568138</v>
      </c>
      <c r="H26" s="900">
        <f>N24*1000/E24</f>
        <v>19.57793202680558</v>
      </c>
      <c r="I26" s="900">
        <f>O24*1000/F24</f>
        <v>23.342776203966007</v>
      </c>
      <c r="J26" s="890">
        <f>(I26/H26-1)*100</f>
        <v>19.230040088022072</v>
      </c>
      <c r="K26" s="887">
        <f>N25*1000/E25</f>
        <v>27.41201734928865</v>
      </c>
      <c r="L26" s="900">
        <f>O25*1000/F25</f>
        <v>22.893336204774798</v>
      </c>
      <c r="M26" s="907">
        <f>(L26/K26-1)*100</f>
        <v>-16.48430718154027</v>
      </c>
      <c r="N26" s="942">
        <f>N24+N25</f>
        <v>10700</v>
      </c>
      <c r="O26" s="908">
        <f>O24+O25</f>
        <v>9455</v>
      </c>
      <c r="P26" s="890">
        <f>(O26/N26-1)*100</f>
        <v>-11.635514018691584</v>
      </c>
      <c r="Q26" s="125"/>
      <c r="R26" s="57"/>
    </row>
    <row r="27" spans="1:18" ht="13.5" customHeight="1">
      <c r="A27" s="431"/>
      <c r="B27" s="196"/>
      <c r="C27" s="860" t="s">
        <v>30</v>
      </c>
      <c r="D27" s="997" t="s">
        <v>47</v>
      </c>
      <c r="E27" s="935">
        <v>12538</v>
      </c>
      <c r="F27" s="884">
        <v>13090</v>
      </c>
      <c r="G27" s="1112">
        <f t="shared" si="1"/>
        <v>4.402616047216457</v>
      </c>
      <c r="H27" s="900">
        <f t="shared" si="2"/>
        <v>24.69293348221407</v>
      </c>
      <c r="I27" s="899">
        <f t="shared" si="2"/>
        <v>24.950343773873186</v>
      </c>
      <c r="J27" s="901">
        <f t="shared" si="3"/>
        <v>1.042445166932171</v>
      </c>
      <c r="K27" s="898">
        <v>0</v>
      </c>
      <c r="L27" s="884">
        <v>0</v>
      </c>
      <c r="M27" s="886">
        <v>0</v>
      </c>
      <c r="N27" s="938">
        <v>309.6</v>
      </c>
      <c r="O27" s="899">
        <v>326.6</v>
      </c>
      <c r="P27" s="901">
        <f t="shared" si="0"/>
        <v>5.490956072351416</v>
      </c>
      <c r="Q27" s="125"/>
      <c r="R27" s="57"/>
    </row>
    <row r="28" spans="1:18" ht="13.5" customHeight="1">
      <c r="A28" s="431"/>
      <c r="B28" s="196"/>
      <c r="C28" s="861" t="s">
        <v>8</v>
      </c>
      <c r="D28" s="997" t="s">
        <v>47</v>
      </c>
      <c r="E28" s="935">
        <v>198971.3</v>
      </c>
      <c r="F28" s="884">
        <v>200177</v>
      </c>
      <c r="G28" s="1112">
        <f t="shared" si="1"/>
        <v>0.6059667901853194</v>
      </c>
      <c r="H28" s="900">
        <f t="shared" si="2"/>
        <v>20.42455369191436</v>
      </c>
      <c r="I28" s="899">
        <f t="shared" si="2"/>
        <v>27.287350694635247</v>
      </c>
      <c r="J28" s="901">
        <f t="shared" si="3"/>
        <v>33.60071953708206</v>
      </c>
      <c r="K28" s="898">
        <v>0</v>
      </c>
      <c r="L28" s="884">
        <v>0</v>
      </c>
      <c r="M28" s="886">
        <v>0</v>
      </c>
      <c r="N28" s="938">
        <v>4063.9</v>
      </c>
      <c r="O28" s="899">
        <v>5462.3</v>
      </c>
      <c r="P28" s="901">
        <f t="shared" si="0"/>
        <v>34.41029552892543</v>
      </c>
      <c r="Q28" s="125"/>
      <c r="R28" s="57"/>
    </row>
    <row r="29" spans="1:18" ht="13.5" customHeight="1">
      <c r="A29" s="431"/>
      <c r="B29" s="196"/>
      <c r="C29" s="862" t="s">
        <v>6</v>
      </c>
      <c r="D29" s="997" t="s">
        <v>47</v>
      </c>
      <c r="E29" s="935">
        <v>44500</v>
      </c>
      <c r="F29" s="884">
        <v>47300</v>
      </c>
      <c r="G29" s="1112">
        <f t="shared" si="1"/>
        <v>6.292134831460672</v>
      </c>
      <c r="H29" s="900">
        <f t="shared" si="2"/>
        <v>28.98876404494382</v>
      </c>
      <c r="I29" s="899">
        <f t="shared" si="2"/>
        <v>23.60042283298097</v>
      </c>
      <c r="J29" s="901">
        <f t="shared" si="3"/>
        <v>-18.587688676926106</v>
      </c>
      <c r="K29" s="898">
        <v>0</v>
      </c>
      <c r="L29" s="884">
        <v>0</v>
      </c>
      <c r="M29" s="886">
        <v>0</v>
      </c>
      <c r="N29" s="938">
        <v>1290</v>
      </c>
      <c r="O29" s="899">
        <v>1116.3</v>
      </c>
      <c r="P29" s="901">
        <f t="shared" si="0"/>
        <v>-13.465116279069766</v>
      </c>
      <c r="Q29" s="125"/>
      <c r="R29" s="57"/>
    </row>
    <row r="30" spans="1:18" ht="13.5" customHeight="1">
      <c r="A30" s="431"/>
      <c r="B30" s="196"/>
      <c r="C30" s="1533" t="s">
        <v>14</v>
      </c>
      <c r="D30" s="996" t="s">
        <v>47</v>
      </c>
      <c r="E30" s="944">
        <v>8450</v>
      </c>
      <c r="F30" s="945">
        <v>9906</v>
      </c>
      <c r="G30" s="1119">
        <f t="shared" si="1"/>
        <v>17.230769230769226</v>
      </c>
      <c r="H30" s="974">
        <f t="shared" si="2"/>
        <v>10.662721893491124</v>
      </c>
      <c r="I30" s="950">
        <f t="shared" si="2"/>
        <v>11.831213406016555</v>
      </c>
      <c r="J30" s="929">
        <f t="shared" si="3"/>
        <v>10.958660689056487</v>
      </c>
      <c r="K30" s="952">
        <v>0</v>
      </c>
      <c r="L30" s="945">
        <v>0</v>
      </c>
      <c r="M30" s="939">
        <v>0</v>
      </c>
      <c r="N30" s="977">
        <v>90.1</v>
      </c>
      <c r="O30" s="954">
        <v>117.2</v>
      </c>
      <c r="P30" s="929">
        <f t="shared" si="0"/>
        <v>30.07769145394008</v>
      </c>
      <c r="Q30" s="125"/>
      <c r="R30" s="57"/>
    </row>
    <row r="31" spans="1:18" ht="13.5" customHeight="1">
      <c r="A31" s="431"/>
      <c r="B31" s="196"/>
      <c r="C31" s="1533"/>
      <c r="D31" s="998" t="s">
        <v>48</v>
      </c>
      <c r="E31" s="955">
        <v>1559</v>
      </c>
      <c r="F31" s="956">
        <v>3684</v>
      </c>
      <c r="G31" s="1120">
        <f t="shared" si="1"/>
        <v>136.3053239255933</v>
      </c>
      <c r="H31" s="933">
        <v>0</v>
      </c>
      <c r="I31" s="892">
        <v>0</v>
      </c>
      <c r="J31" s="958">
        <v>0</v>
      </c>
      <c r="K31" s="894">
        <f>N31*1000/E31</f>
        <v>24.50288646568313</v>
      </c>
      <c r="L31" s="909">
        <f>O31*1000/F31</f>
        <v>19.59826275787188</v>
      </c>
      <c r="M31" s="957">
        <f>(L31/K31-1)*100</f>
        <v>-20.016514032664247</v>
      </c>
      <c r="N31" s="895">
        <v>38.2</v>
      </c>
      <c r="O31" s="909">
        <v>72.2</v>
      </c>
      <c r="P31" s="958">
        <f t="shared" si="0"/>
        <v>89.00523560209423</v>
      </c>
      <c r="Q31" s="125"/>
      <c r="R31" s="57"/>
    </row>
    <row r="32" spans="1:18" ht="13.5" customHeight="1" thickBot="1">
      <c r="A32" s="431"/>
      <c r="B32" s="196"/>
      <c r="C32" s="1534"/>
      <c r="D32" s="930" t="s">
        <v>127</v>
      </c>
      <c r="E32" s="937">
        <f>E30+E31</f>
        <v>10009</v>
      </c>
      <c r="F32" s="947">
        <f>F30+F31</f>
        <v>13590</v>
      </c>
      <c r="G32" s="1121">
        <f>(F32/E32-1)*100</f>
        <v>35.777799980017974</v>
      </c>
      <c r="H32" s="1058">
        <f>N30*1000/E30</f>
        <v>10.662721893491124</v>
      </c>
      <c r="I32" s="1059">
        <f>O32*1000/F32</f>
        <v>13.936718175128771</v>
      </c>
      <c r="J32" s="1060">
        <f>(I32/H32-1)*100</f>
        <v>30.705070565858072</v>
      </c>
      <c r="K32" s="1058">
        <f>N31*1000/E31</f>
        <v>24.50288646568313</v>
      </c>
      <c r="L32" s="1061">
        <f>O31*1000/F31</f>
        <v>19.59826275787188</v>
      </c>
      <c r="M32" s="1062">
        <f>(L32/K32-1)*100</f>
        <v>-20.016514032664247</v>
      </c>
      <c r="N32" s="943">
        <f>N30+N31</f>
        <v>128.3</v>
      </c>
      <c r="O32" s="928">
        <f>O30+O31</f>
        <v>189.4</v>
      </c>
      <c r="P32" s="890">
        <f>(O32/N32-1)*100</f>
        <v>47.62275915822292</v>
      </c>
      <c r="Q32" s="125"/>
      <c r="R32" s="57"/>
    </row>
    <row r="33" spans="1:18" ht="13.5" customHeight="1">
      <c r="A33" s="431"/>
      <c r="B33" s="196"/>
      <c r="C33" s="910"/>
      <c r="D33" s="1069" t="s">
        <v>47</v>
      </c>
      <c r="E33" s="1070">
        <f>E9+E10+E13+E16+E17+E18+E19+E21+E24+E27+E28+E29+E30</f>
        <v>1479810.3</v>
      </c>
      <c r="F33" s="1071">
        <f>F9+F10+F13+F16+F17+F18+F19+F21+F24+F27+F28+F29+F30</f>
        <v>1524696.8</v>
      </c>
      <c r="G33" s="1122">
        <f>(F33/E35-1)*100</f>
        <v>-20.67440889251784</v>
      </c>
      <c r="H33" s="1537">
        <f>N33*1000/E35</f>
        <v>16.67380912382003</v>
      </c>
      <c r="I33" s="1539">
        <f>O33*1000/F33</f>
        <v>26.410890348822143</v>
      </c>
      <c r="J33" s="1541">
        <f>(I33/H33-1)*100</f>
        <v>58.397461268114334</v>
      </c>
      <c r="K33" s="1543">
        <f>N34*1000/E34</f>
        <v>25.294168189135902</v>
      </c>
      <c r="L33" s="1545">
        <f>N34*1000/F34</f>
        <v>26.803620298937748</v>
      </c>
      <c r="M33" s="1535">
        <f>(L33/K33-1)*100</f>
        <v>5.967589440044008</v>
      </c>
      <c r="N33" s="1070">
        <f>N9+N10+N13+N16+N17+N18+N19+N21+N24+N27+N28+N29+N30</f>
        <v>32048.299999999996</v>
      </c>
      <c r="O33" s="1072">
        <f>O9+O10+O13+O16+O17+O18+O19+O21+O24+O27+O28+O29+O30</f>
        <v>40268.600000000006</v>
      </c>
      <c r="P33" s="1073">
        <f t="shared" si="0"/>
        <v>25.649722450176803</v>
      </c>
      <c r="Q33" s="125"/>
      <c r="R33" s="57"/>
    </row>
    <row r="34" spans="1:18" ht="13.5" customHeight="1" thickBot="1">
      <c r="A34" s="431"/>
      <c r="B34" s="196"/>
      <c r="C34" s="911" t="s">
        <v>473</v>
      </c>
      <c r="D34" s="1068" t="s">
        <v>48</v>
      </c>
      <c r="E34" s="872">
        <f>E7+E8+E11+E14+E20+E22+E25+E31</f>
        <v>442264</v>
      </c>
      <c r="F34" s="874">
        <f>F7+F8+F11+F14+F20+F22+F25+F31</f>
        <v>417357.8</v>
      </c>
      <c r="G34" s="1123">
        <f t="shared" si="1"/>
        <v>-5.631523253079607</v>
      </c>
      <c r="H34" s="1538"/>
      <c r="I34" s="1540"/>
      <c r="J34" s="1542"/>
      <c r="K34" s="1544"/>
      <c r="L34" s="1546"/>
      <c r="M34" s="1536"/>
      <c r="N34" s="874">
        <f>N7+N8+N11+N14+N20+N22+N25+N31</f>
        <v>11186.7</v>
      </c>
      <c r="O34" s="873">
        <f>O7+O8+O11+O14+O20+O22+O25+O31</f>
        <v>9399.900000000001</v>
      </c>
      <c r="P34" s="875">
        <f t="shared" si="0"/>
        <v>-15.972538818418291</v>
      </c>
      <c r="Q34" s="125"/>
      <c r="R34" s="57"/>
    </row>
    <row r="35" spans="1:18" ht="13.5" customHeight="1" thickBot="1">
      <c r="A35" s="431"/>
      <c r="B35" s="196"/>
      <c r="C35" s="912"/>
      <c r="D35" s="871" t="s">
        <v>474</v>
      </c>
      <c r="E35" s="872">
        <f>E33+E34</f>
        <v>1922074.3</v>
      </c>
      <c r="F35" s="873">
        <f>F33+F34</f>
        <v>1942054.6</v>
      </c>
      <c r="G35" s="1123">
        <f t="shared" si="1"/>
        <v>1.0395175670368184</v>
      </c>
      <c r="H35" s="1507">
        <f>N35*1000/E35</f>
        <v>22.493927524029637</v>
      </c>
      <c r="I35" s="1508"/>
      <c r="J35" s="1507">
        <f>O35*1000/F35</f>
        <v>25.575233569643203</v>
      </c>
      <c r="K35" s="1508"/>
      <c r="L35" s="1509">
        <f>(J35/H35-1)*100</f>
        <v>13.698390564839746</v>
      </c>
      <c r="M35" s="1510"/>
      <c r="N35" s="874">
        <f>N33+N34</f>
        <v>43235</v>
      </c>
      <c r="O35" s="873">
        <f>O33+O34</f>
        <v>49668.50000000001</v>
      </c>
      <c r="P35" s="875">
        <f t="shared" si="0"/>
        <v>14.880305308199393</v>
      </c>
      <c r="Q35" s="125"/>
      <c r="R35" s="57"/>
    </row>
    <row r="36" spans="1:18" ht="15">
      <c r="A36" s="431"/>
      <c r="B36" s="196"/>
      <c r="C36" s="791" t="s">
        <v>502</v>
      </c>
      <c r="D36" s="67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179"/>
      <c r="R36" s="57"/>
    </row>
    <row r="37" spans="1:18" ht="15">
      <c r="A37" s="431"/>
      <c r="B37" s="431"/>
      <c r="C37" s="431"/>
      <c r="D37" s="432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4:18" ht="15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4:18" ht="15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4:16" ht="15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4:16" ht="15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4:16" ht="15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4:16" ht="15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4:16" ht="15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4:16" ht="15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4:16" ht="15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4:16" ht="15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4:16" ht="15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 ht="15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 ht="15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 ht="15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 ht="15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 ht="15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 ht="15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 ht="15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 ht="15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 ht="15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 ht="15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 ht="15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 ht="15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 ht="15">
      <c r="D61"/>
      <c r="E61"/>
      <c r="F61"/>
      <c r="G61"/>
      <c r="H61"/>
      <c r="I61"/>
      <c r="J61"/>
      <c r="K61"/>
      <c r="L61"/>
      <c r="M61"/>
      <c r="N61"/>
      <c r="O61"/>
      <c r="P61"/>
    </row>
    <row r="62" ht="15">
      <c r="D62"/>
    </row>
  </sheetData>
  <sheetProtection/>
  <mergeCells count="25">
    <mergeCell ref="C17:C23"/>
    <mergeCell ref="C24:C26"/>
    <mergeCell ref="C30:C32"/>
    <mergeCell ref="M33:M34"/>
    <mergeCell ref="H33:H34"/>
    <mergeCell ref="I33:I34"/>
    <mergeCell ref="J33:J34"/>
    <mergeCell ref="K33:K34"/>
    <mergeCell ref="L33:L34"/>
    <mergeCell ref="A1:R1"/>
    <mergeCell ref="H35:I35"/>
    <mergeCell ref="J35:K35"/>
    <mergeCell ref="L35:M35"/>
    <mergeCell ref="H4:M4"/>
    <mergeCell ref="N4:P4"/>
    <mergeCell ref="C2:P2"/>
    <mergeCell ref="C3:P3"/>
    <mergeCell ref="C4:D6"/>
    <mergeCell ref="E4:G4"/>
    <mergeCell ref="E5:G5"/>
    <mergeCell ref="H5:J5"/>
    <mergeCell ref="K5:M5"/>
    <mergeCell ref="N5:P5"/>
    <mergeCell ref="C9:C12"/>
    <mergeCell ref="C13:C15"/>
  </mergeCells>
  <printOptions horizontalCentered="1"/>
  <pageMargins left="0.64" right="0.5118110236220472" top="0.5905511811023623" bottom="0.5905511811023623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T31" sqref="T31"/>
    </sheetView>
  </sheetViews>
  <sheetFormatPr defaultColWidth="9.140625" defaultRowHeight="12.75"/>
  <cols>
    <col min="1" max="1" width="3.28125" style="1" customWidth="1"/>
    <col min="2" max="2" width="2.7109375" style="1" customWidth="1"/>
    <col min="3" max="3" width="8.7109375" style="1" customWidth="1"/>
    <col min="4" max="4" width="20.57421875" style="27" customWidth="1"/>
    <col min="5" max="6" width="10.28125" style="27" bestFit="1" customWidth="1"/>
    <col min="7" max="13" width="6.7109375" style="27" customWidth="1"/>
    <col min="14" max="15" width="7.7109375" style="27" bestFit="1" customWidth="1"/>
    <col min="16" max="16" width="6.7109375" style="27" bestFit="1" customWidth="1"/>
    <col min="17" max="18" width="2.7109375" style="1" customWidth="1"/>
    <col min="19" max="16384" width="9.140625" style="1" customWidth="1"/>
  </cols>
  <sheetData>
    <row r="1" spans="1:18" ht="14.25" customHeight="1">
      <c r="A1" s="1547" t="s">
        <v>423</v>
      </c>
      <c r="B1" s="1547"/>
      <c r="C1" s="1547"/>
      <c r="D1" s="1547"/>
      <c r="E1" s="1547"/>
      <c r="F1" s="1547"/>
      <c r="G1" s="1547"/>
      <c r="H1" s="1547"/>
      <c r="I1" s="1547"/>
      <c r="J1" s="1547"/>
      <c r="K1" s="1547"/>
      <c r="L1" s="1547"/>
      <c r="M1" s="1547"/>
      <c r="N1" s="1547"/>
      <c r="O1" s="1547"/>
      <c r="P1" s="1547"/>
      <c r="Q1" s="1547"/>
      <c r="R1" s="1547"/>
    </row>
    <row r="2" spans="1:18" ht="15.75">
      <c r="A2" s="431"/>
      <c r="B2" s="1515" t="s">
        <v>383</v>
      </c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515"/>
      <c r="R2" s="57"/>
    </row>
    <row r="3" spans="1:18" ht="13.5" customHeight="1" thickBot="1">
      <c r="A3" s="431"/>
      <c r="B3" s="196"/>
      <c r="C3" s="1516" t="s">
        <v>425</v>
      </c>
      <c r="D3" s="1516"/>
      <c r="E3" s="1516"/>
      <c r="F3" s="1516"/>
      <c r="G3" s="1516"/>
      <c r="H3" s="1516"/>
      <c r="I3" s="1516"/>
      <c r="J3" s="1516"/>
      <c r="K3" s="1516"/>
      <c r="L3" s="1516"/>
      <c r="M3" s="1516"/>
      <c r="N3" s="1516"/>
      <c r="O3" s="1516"/>
      <c r="P3" s="1516"/>
      <c r="Q3" s="179"/>
      <c r="R3" s="57"/>
    </row>
    <row r="4" spans="1:18" ht="10.5" customHeight="1" thickBot="1">
      <c r="A4" s="431"/>
      <c r="B4" s="196"/>
      <c r="C4" s="1514" t="s">
        <v>393</v>
      </c>
      <c r="D4" s="1514"/>
      <c r="E4" s="1518" t="s">
        <v>392</v>
      </c>
      <c r="F4" s="1519"/>
      <c r="G4" s="1520"/>
      <c r="H4" s="1511" t="s">
        <v>436</v>
      </c>
      <c r="I4" s="1512"/>
      <c r="J4" s="1512"/>
      <c r="K4" s="1512"/>
      <c r="L4" s="1512"/>
      <c r="M4" s="1513"/>
      <c r="N4" s="1514" t="s">
        <v>333</v>
      </c>
      <c r="O4" s="1514"/>
      <c r="P4" s="1514"/>
      <c r="Q4" s="125"/>
      <c r="R4" s="57"/>
    </row>
    <row r="5" spans="1:18" ht="13.5" customHeight="1">
      <c r="A5" s="431"/>
      <c r="B5" s="196"/>
      <c r="C5" s="1514"/>
      <c r="D5" s="1514"/>
      <c r="E5" s="1521" t="s">
        <v>390</v>
      </c>
      <c r="F5" s="1522"/>
      <c r="G5" s="1523"/>
      <c r="H5" s="1522" t="s">
        <v>444</v>
      </c>
      <c r="I5" s="1522"/>
      <c r="J5" s="1523"/>
      <c r="K5" s="1521" t="s">
        <v>443</v>
      </c>
      <c r="L5" s="1522"/>
      <c r="M5" s="1523"/>
      <c r="N5" s="1521" t="s">
        <v>391</v>
      </c>
      <c r="O5" s="1522"/>
      <c r="P5" s="1522"/>
      <c r="Q5" s="125"/>
      <c r="R5" s="57"/>
    </row>
    <row r="6" spans="1:18" ht="10.5" customHeight="1" thickBot="1">
      <c r="A6" s="431"/>
      <c r="B6" s="196"/>
      <c r="C6" s="1517"/>
      <c r="D6" s="1517"/>
      <c r="E6" s="866">
        <v>2014</v>
      </c>
      <c r="F6" s="867">
        <v>2015</v>
      </c>
      <c r="G6" s="868" t="s">
        <v>12</v>
      </c>
      <c r="H6" s="866">
        <v>2014</v>
      </c>
      <c r="I6" s="867">
        <v>2015</v>
      </c>
      <c r="J6" s="868" t="s">
        <v>12</v>
      </c>
      <c r="K6" s="866">
        <v>2014</v>
      </c>
      <c r="L6" s="867">
        <v>2015</v>
      </c>
      <c r="M6" s="868" t="s">
        <v>12</v>
      </c>
      <c r="N6" s="866">
        <v>2014</v>
      </c>
      <c r="O6" s="867">
        <v>2015</v>
      </c>
      <c r="P6" s="870" t="s">
        <v>12</v>
      </c>
      <c r="Q6" s="125"/>
      <c r="R6" s="57"/>
    </row>
    <row r="7" spans="1:18" ht="13.5" customHeight="1">
      <c r="A7" s="431"/>
      <c r="B7" s="196"/>
      <c r="C7" s="919" t="s">
        <v>3</v>
      </c>
      <c r="D7" s="1019" t="s">
        <v>48</v>
      </c>
      <c r="E7" s="699">
        <v>86004</v>
      </c>
      <c r="F7" s="700">
        <v>87657</v>
      </c>
      <c r="G7" s="701">
        <f aca="true" t="shared" si="0" ref="G7:G35">(F7/E7-1)*100</f>
        <v>1.9220036277382446</v>
      </c>
      <c r="H7" s="1021">
        <v>0</v>
      </c>
      <c r="I7" s="702">
        <v>0</v>
      </c>
      <c r="J7" s="695">
        <v>0</v>
      </c>
      <c r="K7" s="690">
        <f>N7*1000/E7</f>
        <v>17.17710804148644</v>
      </c>
      <c r="L7" s="693">
        <f>O7*1000/F7</f>
        <v>19.66642709652395</v>
      </c>
      <c r="M7" s="701">
        <f>(L7/K7-1)*100</f>
        <v>14.492073106982062</v>
      </c>
      <c r="N7" s="694">
        <v>1477.3</v>
      </c>
      <c r="O7" s="702">
        <v>1723.9</v>
      </c>
      <c r="P7" s="695">
        <f aca="true" t="shared" si="1" ref="P7:P35">(O7/N7-1)*100</f>
        <v>16.69261490557099</v>
      </c>
      <c r="Q7" s="125"/>
      <c r="R7" s="57"/>
    </row>
    <row r="8" spans="1:18" ht="13.5" customHeight="1">
      <c r="A8" s="431"/>
      <c r="B8" s="196"/>
      <c r="C8" s="865" t="s">
        <v>4</v>
      </c>
      <c r="D8" s="1020" t="s">
        <v>48</v>
      </c>
      <c r="E8" s="679">
        <v>4377</v>
      </c>
      <c r="F8" s="672">
        <v>1243</v>
      </c>
      <c r="G8" s="680">
        <f t="shared" si="0"/>
        <v>-71.60155357550833</v>
      </c>
      <c r="H8" s="1022">
        <v>0</v>
      </c>
      <c r="I8" s="703">
        <v>0</v>
      </c>
      <c r="J8" s="1036">
        <v>0</v>
      </c>
      <c r="K8" s="691">
        <f>N8*1000/E8</f>
        <v>15.695681973954764</v>
      </c>
      <c r="L8" s="697">
        <f>O8*1000/F8</f>
        <v>13.35478680611424</v>
      </c>
      <c r="M8" s="680">
        <f>(L8/K8-1)*100</f>
        <v>-14.91426222654727</v>
      </c>
      <c r="N8" s="686">
        <v>68.7</v>
      </c>
      <c r="O8" s="703">
        <v>16.6</v>
      </c>
      <c r="P8" s="429">
        <f t="shared" si="1"/>
        <v>-75.83697234352256</v>
      </c>
      <c r="Q8" s="125"/>
      <c r="R8" s="57"/>
    </row>
    <row r="9" spans="1:18" ht="13.5" customHeight="1">
      <c r="A9" s="431"/>
      <c r="B9" s="196"/>
      <c r="C9" s="1548" t="s">
        <v>5</v>
      </c>
      <c r="D9" s="1008" t="s">
        <v>380</v>
      </c>
      <c r="E9" s="677">
        <v>11973</v>
      </c>
      <c r="F9" s="1031">
        <v>9129</v>
      </c>
      <c r="G9" s="1023">
        <f t="shared" si="0"/>
        <v>-23.753445251816586</v>
      </c>
      <c r="H9" s="1004">
        <f aca="true" t="shared" si="2" ref="H9:I33">N9*1000/E9</f>
        <v>36.34009855508227</v>
      </c>
      <c r="I9" s="1040">
        <f t="shared" si="2"/>
        <v>37.002957607624055</v>
      </c>
      <c r="J9" s="1037">
        <f>(I9/H9-1)*100</f>
        <v>1.8240430788514672</v>
      </c>
      <c r="K9" s="1012">
        <v>0</v>
      </c>
      <c r="L9" s="1046">
        <v>0</v>
      </c>
      <c r="M9" s="1024">
        <v>0</v>
      </c>
      <c r="N9" s="1048">
        <v>435.1</v>
      </c>
      <c r="O9" s="1052">
        <v>337.8</v>
      </c>
      <c r="P9" s="1009">
        <f t="shared" si="1"/>
        <v>-22.362675247069642</v>
      </c>
      <c r="Q9" s="125"/>
      <c r="R9" s="57"/>
    </row>
    <row r="10" spans="1:18" ht="13.5" customHeight="1">
      <c r="A10" s="431"/>
      <c r="B10" s="196"/>
      <c r="C10" s="1549"/>
      <c r="D10" s="1008" t="s">
        <v>381</v>
      </c>
      <c r="E10" s="677">
        <v>99366</v>
      </c>
      <c r="F10" s="918">
        <v>94321</v>
      </c>
      <c r="G10" s="1023">
        <f t="shared" si="0"/>
        <v>-5.077189380673475</v>
      </c>
      <c r="H10" s="920">
        <f t="shared" si="2"/>
        <v>9.01918161141638</v>
      </c>
      <c r="I10" s="1041">
        <f t="shared" si="2"/>
        <v>8.739305138834405</v>
      </c>
      <c r="J10" s="1010">
        <f>(I10/H10-1)*100</f>
        <v>-3.103124924635181</v>
      </c>
      <c r="K10" s="716">
        <v>0</v>
      </c>
      <c r="L10" s="1032">
        <v>0</v>
      </c>
      <c r="M10" s="1024">
        <v>0</v>
      </c>
      <c r="N10" s="683">
        <v>896.2</v>
      </c>
      <c r="O10" s="1007">
        <v>824.3</v>
      </c>
      <c r="P10" s="1009">
        <f t="shared" si="1"/>
        <v>-8.022762776166047</v>
      </c>
      <c r="Q10" s="125"/>
      <c r="R10" s="57"/>
    </row>
    <row r="11" spans="1:18" ht="13.5" customHeight="1">
      <c r="A11" s="431"/>
      <c r="B11" s="196"/>
      <c r="C11" s="1549"/>
      <c r="D11" s="917" t="s">
        <v>382</v>
      </c>
      <c r="E11" s="677">
        <v>32600</v>
      </c>
      <c r="F11" s="918">
        <v>35228</v>
      </c>
      <c r="G11" s="1027">
        <f t="shared" si="0"/>
        <v>8.06134969325154</v>
      </c>
      <c r="H11" s="713">
        <v>0</v>
      </c>
      <c r="I11" s="714">
        <v>0</v>
      </c>
      <c r="J11" s="1038">
        <v>0</v>
      </c>
      <c r="K11" s="712">
        <f>N11*1000/E11</f>
        <v>31.901840490797547</v>
      </c>
      <c r="L11" s="718">
        <f>O11*1000/F11</f>
        <v>33.59827410014761</v>
      </c>
      <c r="M11" s="1030">
        <f>(L11/K11-1)*100</f>
        <v>5.317666890847317</v>
      </c>
      <c r="N11" s="683">
        <v>1040</v>
      </c>
      <c r="O11" s="471">
        <v>1183.6</v>
      </c>
      <c r="P11" s="1051">
        <f t="shared" si="1"/>
        <v>13.8076923076923</v>
      </c>
      <c r="Q11" s="125"/>
      <c r="R11" s="57"/>
    </row>
    <row r="12" spans="1:18" ht="13.5" customHeight="1">
      <c r="A12" s="431"/>
      <c r="B12" s="196"/>
      <c r="C12" s="1550"/>
      <c r="D12" s="922" t="s">
        <v>127</v>
      </c>
      <c r="E12" s="685">
        <f>E9+E10+E11</f>
        <v>143939</v>
      </c>
      <c r="F12" s="692">
        <f>F9+F10+F11</f>
        <v>138678</v>
      </c>
      <c r="G12" s="1028">
        <f>(F12/E12-1)*100</f>
        <v>-3.655020529529873</v>
      </c>
      <c r="H12" s="691">
        <f>SUM(N9+N10)*1000/SUM(E9+E10)</f>
        <v>11.957175832367815</v>
      </c>
      <c r="I12" s="1042">
        <f>SUM(O9+O10)*1000/SUM(F9+F10)</f>
        <v>11.233446109231513</v>
      </c>
      <c r="J12" s="1036">
        <f>(I12/H12-1)*100</f>
        <v>-6.052681112016279</v>
      </c>
      <c r="K12" s="691">
        <f>N11*1000/E11</f>
        <v>31.901840490797547</v>
      </c>
      <c r="L12" s="1042">
        <f>O11*1000/F11</f>
        <v>33.59827410014761</v>
      </c>
      <c r="M12" s="1028">
        <f>(L12/K12-1)*100</f>
        <v>5.317666890847317</v>
      </c>
      <c r="N12" s="685">
        <f>N9+N10+N11</f>
        <v>2371.3</v>
      </c>
      <c r="O12" s="692">
        <f>O9+O10+O11</f>
        <v>2345.7</v>
      </c>
      <c r="P12" s="1036">
        <f>(O12/N12-1)*100</f>
        <v>-1.0795766035508136</v>
      </c>
      <c r="Q12" s="125"/>
      <c r="R12" s="57"/>
    </row>
    <row r="13" spans="1:18" ht="13.5" customHeight="1">
      <c r="A13" s="431"/>
      <c r="B13" s="196"/>
      <c r="C13" s="1548" t="s">
        <v>9</v>
      </c>
      <c r="D13" s="1011" t="s">
        <v>47</v>
      </c>
      <c r="E13" s="677">
        <v>135</v>
      </c>
      <c r="F13" s="918">
        <v>111</v>
      </c>
      <c r="G13" s="1023">
        <f t="shared" si="0"/>
        <v>-17.777777777777782</v>
      </c>
      <c r="H13" s="1004">
        <f t="shared" si="2"/>
        <v>14.814814814814815</v>
      </c>
      <c r="I13" s="1040">
        <f t="shared" si="2"/>
        <v>15.315315315315315</v>
      </c>
      <c r="J13" s="1037">
        <f aca="true" t="shared" si="3" ref="J13:J30">(I13/H13-1)*100</f>
        <v>3.378378378378377</v>
      </c>
      <c r="K13" s="1012">
        <v>0</v>
      </c>
      <c r="L13" s="1046">
        <v>0</v>
      </c>
      <c r="M13" s="1024">
        <v>0</v>
      </c>
      <c r="N13" s="683">
        <v>2</v>
      </c>
      <c r="O13" s="1007">
        <v>1.7</v>
      </c>
      <c r="P13" s="1009">
        <f>(O13/N13-1)*100</f>
        <v>-15.000000000000002</v>
      </c>
      <c r="Q13" s="125"/>
      <c r="R13" s="57"/>
    </row>
    <row r="14" spans="1:18" ht="13.5" customHeight="1">
      <c r="A14" s="431"/>
      <c r="B14" s="196"/>
      <c r="C14" s="1549"/>
      <c r="D14" s="1057" t="s">
        <v>48</v>
      </c>
      <c r="E14" s="924">
        <v>19980</v>
      </c>
      <c r="F14" s="921">
        <v>20078</v>
      </c>
      <c r="G14" s="1027">
        <f t="shared" si="0"/>
        <v>0.49049049049048055</v>
      </c>
      <c r="H14" s="713">
        <v>0</v>
      </c>
      <c r="I14" s="714">
        <v>0</v>
      </c>
      <c r="J14" s="1038">
        <v>0</v>
      </c>
      <c r="K14" s="712">
        <f>N14*1000/E14</f>
        <v>8.198198198198199</v>
      </c>
      <c r="L14" s="718">
        <f>O14*1000/F14</f>
        <v>6.28548660225122</v>
      </c>
      <c r="M14" s="1030">
        <f>(L14/K14-1)*100</f>
        <v>-23.330877708803797</v>
      </c>
      <c r="N14" s="1049">
        <v>163.8</v>
      </c>
      <c r="O14" s="921">
        <v>126.2</v>
      </c>
      <c r="P14" s="1051">
        <f>(O14/N14-1)*100</f>
        <v>-22.954822954822962</v>
      </c>
      <c r="Q14" s="125"/>
      <c r="R14" s="57"/>
    </row>
    <row r="15" spans="1:18" ht="13.5" customHeight="1">
      <c r="A15" s="431"/>
      <c r="B15" s="196"/>
      <c r="C15" s="1550"/>
      <c r="D15" s="922" t="s">
        <v>127</v>
      </c>
      <c r="E15" s="1002">
        <f>E13+E14</f>
        <v>20115</v>
      </c>
      <c r="F15" s="697">
        <f>F13+F14</f>
        <v>20189</v>
      </c>
      <c r="G15" s="1029">
        <f>(F15/E15-1)*100</f>
        <v>0.36788466318666835</v>
      </c>
      <c r="H15" s="1013">
        <f>N13*1000/E13</f>
        <v>14.814814814814815</v>
      </c>
      <c r="I15" s="1044">
        <f>O13*1000/F13</f>
        <v>15.315315315315315</v>
      </c>
      <c r="J15" s="1039">
        <f>(I15/H15-1)*100</f>
        <v>3.378378378378377</v>
      </c>
      <c r="K15" s="1013">
        <f>N14*1000/E14</f>
        <v>8.198198198198199</v>
      </c>
      <c r="L15" s="1044">
        <f>O14*1000/F14</f>
        <v>6.28548660225122</v>
      </c>
      <c r="M15" s="1029">
        <f>(L15/K15-1)*100</f>
        <v>-23.330877708803797</v>
      </c>
      <c r="N15" s="1002">
        <f>N13+N14</f>
        <v>165.8</v>
      </c>
      <c r="O15" s="697">
        <f>O13+O14</f>
        <v>127.9</v>
      </c>
      <c r="P15" s="1039">
        <f>(O15/N15-1)*100</f>
        <v>-22.85886610373945</v>
      </c>
      <c r="Q15" s="125"/>
      <c r="R15" s="57"/>
    </row>
    <row r="16" spans="1:18" ht="13.5" customHeight="1">
      <c r="A16" s="431"/>
      <c r="B16" s="196"/>
      <c r="C16" s="865" t="s">
        <v>10</v>
      </c>
      <c r="D16" s="1000" t="s">
        <v>47</v>
      </c>
      <c r="E16" s="679">
        <v>6136.8</v>
      </c>
      <c r="F16" s="672">
        <v>6175</v>
      </c>
      <c r="G16" s="1028">
        <f t="shared" si="0"/>
        <v>0.6224742536826922</v>
      </c>
      <c r="H16" s="691">
        <f t="shared" si="2"/>
        <v>38.55429539825316</v>
      </c>
      <c r="I16" s="692">
        <f t="shared" si="2"/>
        <v>36.63157894736842</v>
      </c>
      <c r="J16" s="1036">
        <f t="shared" si="3"/>
        <v>-4.98703563642835</v>
      </c>
      <c r="K16" s="685">
        <v>0</v>
      </c>
      <c r="L16" s="672">
        <v>0</v>
      </c>
      <c r="M16" s="1028">
        <v>0</v>
      </c>
      <c r="N16" s="685">
        <v>236.6</v>
      </c>
      <c r="O16" s="703">
        <v>226.2</v>
      </c>
      <c r="P16" s="1036">
        <f t="shared" si="1"/>
        <v>-4.395604395604402</v>
      </c>
      <c r="Q16" s="125"/>
      <c r="R16" s="57"/>
    </row>
    <row r="17" spans="1:18" ht="13.5" customHeight="1">
      <c r="A17" s="431"/>
      <c r="B17" s="196"/>
      <c r="C17" s="1548" t="s">
        <v>7</v>
      </c>
      <c r="D17" s="1015" t="s">
        <v>389</v>
      </c>
      <c r="E17" s="677">
        <v>501214</v>
      </c>
      <c r="F17" s="918">
        <v>478056</v>
      </c>
      <c r="G17" s="1023">
        <f t="shared" si="0"/>
        <v>-4.62038171320035</v>
      </c>
      <c r="H17" s="920">
        <f t="shared" si="2"/>
        <v>21.555064303870203</v>
      </c>
      <c r="I17" s="1041">
        <f t="shared" si="2"/>
        <v>22.608857539702463</v>
      </c>
      <c r="J17" s="1010">
        <f t="shared" si="3"/>
        <v>4.888842923298786</v>
      </c>
      <c r="K17" s="716">
        <v>0</v>
      </c>
      <c r="L17" s="1032">
        <v>0</v>
      </c>
      <c r="M17" s="1024">
        <v>0</v>
      </c>
      <c r="N17" s="683">
        <v>10803.7</v>
      </c>
      <c r="O17" s="1007">
        <v>10808.3</v>
      </c>
      <c r="P17" s="1009">
        <f t="shared" si="1"/>
        <v>0.04257800568321368</v>
      </c>
      <c r="Q17" s="125"/>
      <c r="R17" s="57"/>
    </row>
    <row r="18" spans="1:18" ht="13.5" customHeight="1">
      <c r="A18" s="431"/>
      <c r="B18" s="196"/>
      <c r="C18" s="1549"/>
      <c r="D18" s="1017" t="s">
        <v>388</v>
      </c>
      <c r="E18" s="677">
        <v>174369</v>
      </c>
      <c r="F18" s="918">
        <v>170634</v>
      </c>
      <c r="G18" s="1023">
        <f t="shared" si="0"/>
        <v>-2.1420091874128966</v>
      </c>
      <c r="H18" s="920">
        <f t="shared" si="2"/>
        <v>33.06493700141654</v>
      </c>
      <c r="I18" s="1041">
        <f t="shared" si="2"/>
        <v>24.806896632558576</v>
      </c>
      <c r="J18" s="1010">
        <f t="shared" si="3"/>
        <v>-24.975218820178547</v>
      </c>
      <c r="K18" s="716">
        <v>0</v>
      </c>
      <c r="L18" s="1032">
        <v>0</v>
      </c>
      <c r="M18" s="1024">
        <v>0</v>
      </c>
      <c r="N18" s="683">
        <v>5765.5</v>
      </c>
      <c r="O18" s="1007">
        <v>4232.9</v>
      </c>
      <c r="P18" s="1009">
        <f t="shared" si="1"/>
        <v>-26.58225652588675</v>
      </c>
      <c r="Q18" s="125"/>
      <c r="R18" s="57"/>
    </row>
    <row r="19" spans="1:21" ht="13.5" customHeight="1">
      <c r="A19" s="431"/>
      <c r="B19" s="196"/>
      <c r="C19" s="1549"/>
      <c r="D19" s="1015" t="s">
        <v>384</v>
      </c>
      <c r="E19" s="677">
        <v>284582</v>
      </c>
      <c r="F19" s="918">
        <v>278646</v>
      </c>
      <c r="G19" s="1023">
        <f t="shared" si="0"/>
        <v>-2.085866288099736</v>
      </c>
      <c r="H19" s="920">
        <f t="shared" si="2"/>
        <v>18.64067298704767</v>
      </c>
      <c r="I19" s="1041">
        <f t="shared" si="2"/>
        <v>22.933399366938698</v>
      </c>
      <c r="J19" s="1010">
        <f t="shared" si="3"/>
        <v>23.02881651791111</v>
      </c>
      <c r="K19" s="716">
        <v>0</v>
      </c>
      <c r="L19" s="1032">
        <v>0</v>
      </c>
      <c r="M19" s="1024">
        <v>0</v>
      </c>
      <c r="N19" s="683">
        <v>5304.8</v>
      </c>
      <c r="O19" s="1007">
        <v>6390.3</v>
      </c>
      <c r="P19" s="1009">
        <f t="shared" si="1"/>
        <v>20.46259990951591</v>
      </c>
      <c r="Q19" s="125"/>
      <c r="R19" s="57"/>
      <c r="U19" s="473"/>
    </row>
    <row r="20" spans="1:18" ht="13.5" customHeight="1">
      <c r="A20" s="431"/>
      <c r="B20" s="196"/>
      <c r="C20" s="1549"/>
      <c r="D20" s="1015" t="s">
        <v>385</v>
      </c>
      <c r="E20" s="677">
        <v>8755</v>
      </c>
      <c r="F20" s="918">
        <v>8694</v>
      </c>
      <c r="G20" s="1023">
        <f t="shared" si="0"/>
        <v>-0.6967447173043984</v>
      </c>
      <c r="H20" s="1035">
        <v>0</v>
      </c>
      <c r="I20" s="1043">
        <v>0</v>
      </c>
      <c r="J20" s="1010">
        <v>0</v>
      </c>
      <c r="K20" s="920">
        <f>N20*1000/E20</f>
        <v>22.07881210736722</v>
      </c>
      <c r="L20" s="1047">
        <f>O20*1000/F20</f>
        <v>25.212790430181734</v>
      </c>
      <c r="M20" s="1024">
        <f>(L20/K20-1)*100</f>
        <v>14.19450606116972</v>
      </c>
      <c r="N20" s="683">
        <v>193.3</v>
      </c>
      <c r="O20" s="1007">
        <v>219.2</v>
      </c>
      <c r="P20" s="1009">
        <f t="shared" si="1"/>
        <v>13.398861872736667</v>
      </c>
      <c r="Q20" s="125"/>
      <c r="R20" s="57"/>
    </row>
    <row r="21" spans="1:18" ht="13.5" customHeight="1">
      <c r="A21" s="431"/>
      <c r="B21" s="196"/>
      <c r="C21" s="1549"/>
      <c r="D21" s="1015" t="s">
        <v>386</v>
      </c>
      <c r="E21" s="677">
        <v>34914</v>
      </c>
      <c r="F21" s="918">
        <v>28161</v>
      </c>
      <c r="G21" s="1023">
        <f t="shared" si="0"/>
        <v>-19.34181130778484</v>
      </c>
      <c r="H21" s="920">
        <f t="shared" si="2"/>
        <v>22.05419029615627</v>
      </c>
      <c r="I21" s="1041">
        <f t="shared" si="2"/>
        <v>18.969496821845816</v>
      </c>
      <c r="J21" s="1010">
        <f t="shared" si="3"/>
        <v>-13.986881553516262</v>
      </c>
      <c r="K21" s="716">
        <v>0</v>
      </c>
      <c r="L21" s="1032">
        <v>0</v>
      </c>
      <c r="M21" s="1024">
        <v>0</v>
      </c>
      <c r="N21" s="683">
        <v>770</v>
      </c>
      <c r="O21" s="1007">
        <v>534.2</v>
      </c>
      <c r="P21" s="1009">
        <f t="shared" si="1"/>
        <v>-30.62337662337662</v>
      </c>
      <c r="Q21" s="125"/>
      <c r="R21" s="57"/>
    </row>
    <row r="22" spans="1:18" ht="13.5" customHeight="1">
      <c r="A22" s="431"/>
      <c r="B22" s="196"/>
      <c r="C22" s="1549"/>
      <c r="D22" s="923" t="s">
        <v>387</v>
      </c>
      <c r="E22" s="924">
        <v>4714</v>
      </c>
      <c r="F22" s="921">
        <v>4681</v>
      </c>
      <c r="G22" s="1027">
        <f t="shared" si="0"/>
        <v>-0.7000424268137517</v>
      </c>
      <c r="H22" s="713">
        <v>0</v>
      </c>
      <c r="I22" s="714">
        <v>0</v>
      </c>
      <c r="J22" s="1038">
        <v>0</v>
      </c>
      <c r="K22" s="712">
        <f>N22*1000/E22</f>
        <v>22.083156554942725</v>
      </c>
      <c r="L22" s="718">
        <f>O22*1000/F22</f>
        <v>25.208288827173682</v>
      </c>
      <c r="M22" s="1030">
        <f>(L22/K22-1)*100</f>
        <v>14.151655649660633</v>
      </c>
      <c r="N22" s="1049">
        <v>104.1</v>
      </c>
      <c r="O22" s="471">
        <v>118</v>
      </c>
      <c r="P22" s="1051">
        <f t="shared" si="1"/>
        <v>13.352545629202694</v>
      </c>
      <c r="Q22" s="125"/>
      <c r="R22" s="57"/>
    </row>
    <row r="23" spans="1:18" ht="13.5" customHeight="1">
      <c r="A23" s="431"/>
      <c r="B23" s="196"/>
      <c r="C23" s="1550"/>
      <c r="D23" s="1055" t="s">
        <v>127</v>
      </c>
      <c r="E23" s="685">
        <f>E17+E18+E19+E20+E21+E22</f>
        <v>1008548</v>
      </c>
      <c r="F23" s="692">
        <f>F17+F18+F19+F20+F21+F22</f>
        <v>968872</v>
      </c>
      <c r="G23" s="1028">
        <f>(F23/E23-1)*100</f>
        <v>-3.933972403891539</v>
      </c>
      <c r="H23" s="691">
        <f>SUM(N17+N18+N19+N21)*1000/SUM(E17+E18+E19+E21)</f>
        <v>22.755982188348863</v>
      </c>
      <c r="I23" s="1042">
        <f>SUM(O17+O18+O19+O21)*1000/SUM(F17+F18+F19+F21)</f>
        <v>22.98876919550768</v>
      </c>
      <c r="J23" s="1036">
        <f>(I23/H23-1)*100</f>
        <v>1.0229705983774373</v>
      </c>
      <c r="K23" s="691">
        <f>SUM(N20+N22)*1000/SUM(E20+E22)</f>
        <v>22.080332615635903</v>
      </c>
      <c r="L23" s="1042">
        <f>SUM(O20+O22)*1000/SUM(F20+F22)</f>
        <v>25.21121495327103</v>
      </c>
      <c r="M23" s="1028">
        <f>(L23/K23-1)*100</f>
        <v>14.179507130332048</v>
      </c>
      <c r="N23" s="685">
        <f>N17+N18+N19+N20+N21+N22</f>
        <v>22941.399999999998</v>
      </c>
      <c r="O23" s="692">
        <f>O17+O18+O19+O20+O21+O22</f>
        <v>22302.9</v>
      </c>
      <c r="P23" s="1036">
        <f>(O23/N23-1)*100</f>
        <v>-2.7831780100603942</v>
      </c>
      <c r="Q23" s="125"/>
      <c r="R23" s="57"/>
    </row>
    <row r="24" spans="1:18" ht="13.5" customHeight="1">
      <c r="A24" s="431"/>
      <c r="B24" s="196"/>
      <c r="C24" s="1527" t="s">
        <v>29</v>
      </c>
      <c r="D24" s="1011" t="s">
        <v>47</v>
      </c>
      <c r="E24" s="677">
        <v>150118</v>
      </c>
      <c r="F24" s="918">
        <v>150118</v>
      </c>
      <c r="G24" s="1023">
        <f t="shared" si="0"/>
        <v>0</v>
      </c>
      <c r="H24" s="920">
        <f t="shared" si="2"/>
        <v>19.029696638644268</v>
      </c>
      <c r="I24" s="1041">
        <f t="shared" si="2"/>
        <v>19.57793202680558</v>
      </c>
      <c r="J24" s="1010">
        <f t="shared" si="3"/>
        <v>2.8809465467147355</v>
      </c>
      <c r="K24" s="716">
        <v>0</v>
      </c>
      <c r="L24" s="1032">
        <v>0</v>
      </c>
      <c r="M24" s="1024">
        <v>0</v>
      </c>
      <c r="N24" s="683">
        <v>2856.7</v>
      </c>
      <c r="O24" s="1007">
        <v>2939</v>
      </c>
      <c r="P24" s="1009">
        <f t="shared" si="1"/>
        <v>2.8809465467147577</v>
      </c>
      <c r="Q24" s="125"/>
      <c r="R24" s="57"/>
    </row>
    <row r="25" spans="1:18" ht="13.5" customHeight="1">
      <c r="A25" s="431"/>
      <c r="B25" s="196"/>
      <c r="C25" s="1528"/>
      <c r="D25" s="923" t="s">
        <v>48</v>
      </c>
      <c r="E25" s="924">
        <v>283124</v>
      </c>
      <c r="F25" s="921">
        <v>283124</v>
      </c>
      <c r="G25" s="1027">
        <f t="shared" si="0"/>
        <v>0</v>
      </c>
      <c r="H25" s="713">
        <v>0</v>
      </c>
      <c r="I25" s="714">
        <v>0</v>
      </c>
      <c r="J25" s="1038">
        <v>0</v>
      </c>
      <c r="K25" s="712">
        <f>N25*1000/E25</f>
        <v>35.14007996496235</v>
      </c>
      <c r="L25" s="718">
        <f>O25*1000/F25</f>
        <v>27.41201734928865</v>
      </c>
      <c r="M25" s="1030">
        <f>(L25/K25-1)*100</f>
        <v>-21.992160016082018</v>
      </c>
      <c r="N25" s="1049">
        <v>9949</v>
      </c>
      <c r="O25" s="471">
        <v>7761</v>
      </c>
      <c r="P25" s="1051">
        <f t="shared" si="1"/>
        <v>-21.992160016082018</v>
      </c>
      <c r="Q25" s="125"/>
      <c r="R25" s="57"/>
    </row>
    <row r="26" spans="1:18" ht="13.5" customHeight="1">
      <c r="A26" s="431"/>
      <c r="B26" s="196"/>
      <c r="C26" s="1529"/>
      <c r="D26" s="922" t="s">
        <v>127</v>
      </c>
      <c r="E26" s="678">
        <f>E24+E25</f>
        <v>433242</v>
      </c>
      <c r="F26" s="676">
        <f>F24+F25</f>
        <v>433242</v>
      </c>
      <c r="G26" s="1029">
        <f>(F26/E26-1)*100</f>
        <v>0</v>
      </c>
      <c r="H26" s="691">
        <f>N24*1000/E24</f>
        <v>19.029696638644268</v>
      </c>
      <c r="I26" s="1042">
        <f>O24*1000/F24</f>
        <v>19.57793202680558</v>
      </c>
      <c r="J26" s="1039">
        <f>(I26/H26-1)*100</f>
        <v>2.8809465467147355</v>
      </c>
      <c r="K26" s="691">
        <f>N25*1000/E25</f>
        <v>35.14007996496235</v>
      </c>
      <c r="L26" s="1042">
        <f>O25*1000/F25</f>
        <v>27.41201734928865</v>
      </c>
      <c r="M26" s="1029">
        <f>(L26/K26-1)*100</f>
        <v>-21.992160016082018</v>
      </c>
      <c r="N26" s="684">
        <f>N24+N25</f>
        <v>12805.7</v>
      </c>
      <c r="O26" s="753">
        <f>O24+O25</f>
        <v>10700</v>
      </c>
      <c r="P26" s="1039">
        <f>(O26/N26-1)*100</f>
        <v>-16.443458772265483</v>
      </c>
      <c r="Q26" s="125"/>
      <c r="R26" s="57"/>
    </row>
    <row r="27" spans="1:18" ht="13.5" customHeight="1">
      <c r="A27" s="431"/>
      <c r="B27" s="196"/>
      <c r="C27" s="1053" t="s">
        <v>30</v>
      </c>
      <c r="D27" s="1000" t="s">
        <v>47</v>
      </c>
      <c r="E27" s="679">
        <v>12783</v>
      </c>
      <c r="F27" s="672">
        <v>12538</v>
      </c>
      <c r="G27" s="1028">
        <f t="shared" si="0"/>
        <v>-1.9166079949933468</v>
      </c>
      <c r="H27" s="691">
        <f t="shared" si="2"/>
        <v>22.866306813736994</v>
      </c>
      <c r="I27" s="692">
        <f t="shared" si="2"/>
        <v>24.69293348221407</v>
      </c>
      <c r="J27" s="1036">
        <f t="shared" si="3"/>
        <v>7.988288984995706</v>
      </c>
      <c r="K27" s="685">
        <v>0</v>
      </c>
      <c r="L27" s="672">
        <v>0</v>
      </c>
      <c r="M27" s="1028">
        <v>0</v>
      </c>
      <c r="N27" s="685">
        <v>292.3</v>
      </c>
      <c r="O27" s="703">
        <v>309.6</v>
      </c>
      <c r="P27" s="1036">
        <f t="shared" si="1"/>
        <v>5.918576804652753</v>
      </c>
      <c r="Q27" s="125"/>
      <c r="R27" s="57"/>
    </row>
    <row r="28" spans="1:18" ht="13.5" customHeight="1">
      <c r="A28" s="431"/>
      <c r="B28" s="196"/>
      <c r="C28" s="1054" t="s">
        <v>8</v>
      </c>
      <c r="D28" s="1000" t="s">
        <v>47</v>
      </c>
      <c r="E28" s="679">
        <v>199686</v>
      </c>
      <c r="F28" s="672">
        <v>198971.3</v>
      </c>
      <c r="G28" s="1028">
        <f t="shared" si="0"/>
        <v>-0.3579119217171023</v>
      </c>
      <c r="H28" s="691">
        <f t="shared" si="2"/>
        <v>22.980078723596044</v>
      </c>
      <c r="I28" s="692">
        <f t="shared" si="2"/>
        <v>20.42455369191436</v>
      </c>
      <c r="J28" s="1036">
        <f t="shared" si="3"/>
        <v>-11.120610431406652</v>
      </c>
      <c r="K28" s="685">
        <v>0</v>
      </c>
      <c r="L28" s="672">
        <v>0</v>
      </c>
      <c r="M28" s="1028">
        <v>0</v>
      </c>
      <c r="N28" s="685">
        <v>4588.8</v>
      </c>
      <c r="O28" s="703">
        <v>4063.9</v>
      </c>
      <c r="P28" s="1036">
        <f t="shared" si="1"/>
        <v>-11.438720362622036</v>
      </c>
      <c r="Q28" s="125"/>
      <c r="R28" s="57"/>
    </row>
    <row r="29" spans="1:18" ht="13.5" customHeight="1">
      <c r="A29" s="431"/>
      <c r="B29" s="196"/>
      <c r="C29" s="865" t="s">
        <v>6</v>
      </c>
      <c r="D29" s="1056" t="s">
        <v>47</v>
      </c>
      <c r="E29" s="679">
        <v>33251</v>
      </c>
      <c r="F29" s="672">
        <v>44500</v>
      </c>
      <c r="G29" s="1028">
        <f t="shared" si="0"/>
        <v>33.83056148687258</v>
      </c>
      <c r="H29" s="691">
        <f t="shared" si="2"/>
        <v>16.799494752037532</v>
      </c>
      <c r="I29" s="692">
        <f t="shared" si="2"/>
        <v>28.98876404494382</v>
      </c>
      <c r="J29" s="1036">
        <f t="shared" si="3"/>
        <v>72.55735647304458</v>
      </c>
      <c r="K29" s="685">
        <v>0</v>
      </c>
      <c r="L29" s="672">
        <v>0</v>
      </c>
      <c r="M29" s="1028">
        <v>0</v>
      </c>
      <c r="N29" s="685">
        <v>558.6</v>
      </c>
      <c r="O29" s="703">
        <v>1290</v>
      </c>
      <c r="P29" s="1036">
        <f t="shared" si="1"/>
        <v>130.9344790547798</v>
      </c>
      <c r="Q29" s="125"/>
      <c r="R29" s="57"/>
    </row>
    <row r="30" spans="1:18" ht="13.5" customHeight="1">
      <c r="A30" s="431"/>
      <c r="B30" s="196"/>
      <c r="C30" s="1551" t="s">
        <v>14</v>
      </c>
      <c r="D30" s="1011" t="s">
        <v>47</v>
      </c>
      <c r="E30" s="1026">
        <v>10862</v>
      </c>
      <c r="F30" s="1032">
        <v>8450</v>
      </c>
      <c r="G30" s="1024">
        <f t="shared" si="0"/>
        <v>-22.205855275271592</v>
      </c>
      <c r="H30" s="920">
        <f t="shared" si="2"/>
        <v>8.534339900570798</v>
      </c>
      <c r="I30" s="1041">
        <f t="shared" si="2"/>
        <v>10.662721893491124</v>
      </c>
      <c r="J30" s="1010">
        <f t="shared" si="3"/>
        <v>24.939034743366317</v>
      </c>
      <c r="K30" s="1045">
        <v>0</v>
      </c>
      <c r="L30" s="1032">
        <v>0</v>
      </c>
      <c r="M30" s="1024">
        <v>0</v>
      </c>
      <c r="N30" s="1035">
        <v>92.7</v>
      </c>
      <c r="O30" s="1043">
        <v>90.1</v>
      </c>
      <c r="P30" s="1010">
        <f t="shared" si="1"/>
        <v>-2.80474649406689</v>
      </c>
      <c r="Q30" s="125"/>
      <c r="R30" s="57"/>
    </row>
    <row r="31" spans="1:18" ht="13.5" customHeight="1">
      <c r="A31" s="431"/>
      <c r="B31" s="196"/>
      <c r="C31" s="1552"/>
      <c r="D31" s="923" t="s">
        <v>48</v>
      </c>
      <c r="E31" s="1003">
        <v>1725</v>
      </c>
      <c r="F31" s="1033">
        <v>1559</v>
      </c>
      <c r="G31" s="1030">
        <f t="shared" si="0"/>
        <v>-9.623188405797102</v>
      </c>
      <c r="H31" s="713">
        <v>0</v>
      </c>
      <c r="I31" s="714">
        <v>0</v>
      </c>
      <c r="J31" s="1038">
        <v>0</v>
      </c>
      <c r="K31" s="712">
        <f>N31*1000/E31</f>
        <v>23.18840579710145</v>
      </c>
      <c r="L31" s="718">
        <f>O31*1000/F31</f>
        <v>24.50288646568313</v>
      </c>
      <c r="M31" s="1030">
        <f>(L31/K31-1)*100</f>
        <v>5.6686978832585</v>
      </c>
      <c r="N31" s="1050">
        <v>40</v>
      </c>
      <c r="O31" s="1033">
        <v>38.2</v>
      </c>
      <c r="P31" s="1051">
        <f t="shared" si="1"/>
        <v>-4.499999999999993</v>
      </c>
      <c r="Q31" s="125"/>
      <c r="R31" s="57"/>
    </row>
    <row r="32" spans="1:18" ht="13.5" customHeight="1" thickBot="1">
      <c r="A32" s="431"/>
      <c r="B32" s="196"/>
      <c r="C32" s="1553"/>
      <c r="D32" s="922" t="s">
        <v>127</v>
      </c>
      <c r="E32" s="678">
        <f>E30+E31</f>
        <v>12587</v>
      </c>
      <c r="F32" s="1034">
        <f>F30+F31</f>
        <v>10009</v>
      </c>
      <c r="G32" s="1029">
        <f>(F32/E32-1)*100</f>
        <v>-20.481449114165407</v>
      </c>
      <c r="H32" s="1063">
        <f>N30*1000/E30</f>
        <v>8.534339900570798</v>
      </c>
      <c r="I32" s="1064">
        <f>O32*1000/F32</f>
        <v>12.818463382955342</v>
      </c>
      <c r="J32" s="1065">
        <f>(I32/H32-1)*100</f>
        <v>50.19865077201824</v>
      </c>
      <c r="K32" s="1063">
        <f>N31*1000/E31</f>
        <v>23.18840579710145</v>
      </c>
      <c r="L32" s="1066">
        <f>O31*1000/F31</f>
        <v>24.50288646568313</v>
      </c>
      <c r="M32" s="1067">
        <f>(L32/K32-1)*100</f>
        <v>5.6686978832585</v>
      </c>
      <c r="N32" s="1014">
        <f>N30+N31</f>
        <v>132.7</v>
      </c>
      <c r="O32" s="1025">
        <f>O30+O31</f>
        <v>128.3</v>
      </c>
      <c r="P32" s="430">
        <f>(O32/N32-1)*100</f>
        <v>-3.3157498116051065</v>
      </c>
      <c r="Q32" s="125"/>
      <c r="R32" s="57"/>
    </row>
    <row r="33" spans="1:19" ht="13.5" customHeight="1">
      <c r="A33" s="431"/>
      <c r="B33" s="196"/>
      <c r="C33" s="910"/>
      <c r="D33" s="1069" t="s">
        <v>47</v>
      </c>
      <c r="E33" s="1070">
        <f>E9+E10+E13+E16+E17+E18+E19+E21+E24+E27+E28+E29+E30</f>
        <v>1519389.8</v>
      </c>
      <c r="F33" s="1072">
        <f>F9+F10+F13+F16+F17+F18+F19+F21+F24+F27+F28+F29+F30</f>
        <v>1479810.3</v>
      </c>
      <c r="G33" s="1074">
        <f>(F33/E33-1)*100</f>
        <v>-2.6049602281126294</v>
      </c>
      <c r="H33" s="1537">
        <f t="shared" si="2"/>
        <v>21.4579563453697</v>
      </c>
      <c r="I33" s="1545">
        <f t="shared" si="2"/>
        <v>21.657032661551277</v>
      </c>
      <c r="J33" s="1535">
        <f>(I33/H33-1)*100</f>
        <v>0.9277505880681769</v>
      </c>
      <c r="K33" s="1537">
        <f>N34*1000/E34</f>
        <v>29.54185447302047</v>
      </c>
      <c r="L33" s="1545">
        <f>O34*1000/F34</f>
        <v>25.294168189135902</v>
      </c>
      <c r="M33" s="1535">
        <f>(L33/K33-1)*100</f>
        <v>-14.37853635005829</v>
      </c>
      <c r="N33" s="1070">
        <f>N9+N10+N13+N16+N17+N18+N19+N21+N24+N27+N28+N29+N30</f>
        <v>32602.999999999996</v>
      </c>
      <c r="O33" s="1075">
        <f>O9+O10+O13+O16+O17+O18+O19+O21+O24+O27+O28+O29+O30</f>
        <v>32048.299999999996</v>
      </c>
      <c r="P33" s="1073">
        <f>(O33/N33-1)*100</f>
        <v>-1.7013771738797034</v>
      </c>
      <c r="Q33" s="125"/>
      <c r="R33" s="57"/>
      <c r="S33" s="675" t="s">
        <v>306</v>
      </c>
    </row>
    <row r="34" spans="1:21" ht="13.5" customHeight="1" thickBot="1">
      <c r="A34" s="431"/>
      <c r="B34" s="196"/>
      <c r="C34" s="911" t="s">
        <v>473</v>
      </c>
      <c r="D34" s="1068" t="s">
        <v>48</v>
      </c>
      <c r="E34" s="913">
        <f>E7+E8+E11+E14+E20+E22+E25+E31</f>
        <v>441279</v>
      </c>
      <c r="F34" s="914">
        <f>F7+F8+F11+F14+F20+F22+F25+F31</f>
        <v>442264</v>
      </c>
      <c r="G34" s="875">
        <f>(F34/E34-1)*100</f>
        <v>0.22321479154912005</v>
      </c>
      <c r="H34" s="1538"/>
      <c r="I34" s="1546"/>
      <c r="J34" s="1536"/>
      <c r="K34" s="1538"/>
      <c r="L34" s="1546"/>
      <c r="M34" s="1536"/>
      <c r="N34" s="1076">
        <f>N7+N8+N11+N14+N20+N22+N25+N31</f>
        <v>13036.2</v>
      </c>
      <c r="O34" s="873">
        <f>O7+O8+O11+O14+O20+O22+O25+O31</f>
        <v>11186.7</v>
      </c>
      <c r="P34" s="875">
        <f>(O34/N34-1)*100</f>
        <v>-14.187416578450772</v>
      </c>
      <c r="Q34" s="125"/>
      <c r="R34" s="57"/>
      <c r="U34" s="1127"/>
    </row>
    <row r="35" spans="1:18" ht="13.5" customHeight="1" thickBot="1">
      <c r="A35" s="431"/>
      <c r="B35" s="196"/>
      <c r="C35" s="912"/>
      <c r="D35" s="871" t="s">
        <v>474</v>
      </c>
      <c r="E35" s="913">
        <f>E33+E34</f>
        <v>1960668.8</v>
      </c>
      <c r="F35" s="914">
        <f>F33+F34</f>
        <v>1922074.3</v>
      </c>
      <c r="G35" s="915">
        <f t="shared" si="0"/>
        <v>-1.9684354644700863</v>
      </c>
      <c r="H35" s="1507">
        <f>N35*1000/E35</f>
        <v>23.277363316027675</v>
      </c>
      <c r="I35" s="1508"/>
      <c r="J35" s="1507">
        <f>O35*1000/F35</f>
        <v>22.493927524029637</v>
      </c>
      <c r="K35" s="1508"/>
      <c r="L35" s="1509">
        <f>(J35/H35-1)*100</f>
        <v>-3.3656552134433637</v>
      </c>
      <c r="M35" s="1510"/>
      <c r="N35" s="873">
        <f>N33+N34</f>
        <v>45639.2</v>
      </c>
      <c r="O35" s="916">
        <f>O33+O34</f>
        <v>43235</v>
      </c>
      <c r="P35" s="875">
        <f t="shared" si="1"/>
        <v>-5.26783992708022</v>
      </c>
      <c r="Q35" s="125"/>
      <c r="R35" s="57"/>
    </row>
    <row r="36" spans="1:18" ht="15" customHeight="1">
      <c r="A36" s="431"/>
      <c r="B36" s="196"/>
      <c r="C36" s="181" t="s">
        <v>329</v>
      </c>
      <c r="D36" s="67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179"/>
      <c r="R36" s="57"/>
    </row>
    <row r="37" spans="1:18" ht="15">
      <c r="A37" s="431"/>
      <c r="B37" s="431"/>
      <c r="C37" s="431"/>
      <c r="D37" s="432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4:18" ht="15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4:18" ht="15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4:16" ht="15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4:16" ht="15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4:16" ht="15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4:16" ht="15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4:16" ht="15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4:16" ht="15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4:16" ht="15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4:16" ht="15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4:16" ht="15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 ht="15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 ht="15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 ht="15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 ht="15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 ht="15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 ht="15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 ht="15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 ht="15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 ht="15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 ht="15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 ht="15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 ht="15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 ht="15">
      <c r="D61"/>
      <c r="E61"/>
      <c r="F61"/>
      <c r="G61"/>
      <c r="H61"/>
      <c r="I61"/>
      <c r="J61"/>
      <c r="K61"/>
      <c r="L61"/>
      <c r="M61"/>
      <c r="N61"/>
      <c r="O61"/>
      <c r="P61"/>
    </row>
    <row r="62" ht="15">
      <c r="D62"/>
    </row>
  </sheetData>
  <sheetProtection/>
  <mergeCells count="25">
    <mergeCell ref="J33:J34"/>
    <mergeCell ref="K33:K34"/>
    <mergeCell ref="L33:L34"/>
    <mergeCell ref="M33:M34"/>
    <mergeCell ref="C17:C23"/>
    <mergeCell ref="C24:C26"/>
    <mergeCell ref="C30:C32"/>
    <mergeCell ref="H33:H34"/>
    <mergeCell ref="I33:I34"/>
    <mergeCell ref="A1:R1"/>
    <mergeCell ref="B2:Q2"/>
    <mergeCell ref="H35:I35"/>
    <mergeCell ref="J35:K35"/>
    <mergeCell ref="L35:M35"/>
    <mergeCell ref="H4:M4"/>
    <mergeCell ref="C3:P3"/>
    <mergeCell ref="C4:D6"/>
    <mergeCell ref="E4:G4"/>
    <mergeCell ref="N4:P4"/>
    <mergeCell ref="E5:G5"/>
    <mergeCell ref="H5:J5"/>
    <mergeCell ref="K5:M5"/>
    <mergeCell ref="N5:P5"/>
    <mergeCell ref="C9:C12"/>
    <mergeCell ref="C13:C15"/>
  </mergeCells>
  <printOptions horizontalCentered="1"/>
  <pageMargins left="1.22047244094488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selection activeCell="S32" sqref="S32"/>
    </sheetView>
  </sheetViews>
  <sheetFormatPr defaultColWidth="9.140625" defaultRowHeight="12.75"/>
  <cols>
    <col min="1" max="2" width="2.7109375" style="1" customWidth="1"/>
    <col min="3" max="3" width="8.7109375" style="1" customWidth="1"/>
    <col min="4" max="4" width="19.7109375" style="27" customWidth="1"/>
    <col min="5" max="6" width="10.7109375" style="27" customWidth="1"/>
    <col min="7" max="7" width="6.7109375" style="27" bestFit="1" customWidth="1"/>
    <col min="8" max="13" width="6.7109375" style="27" customWidth="1"/>
    <col min="14" max="15" width="7.7109375" style="27" bestFit="1" customWidth="1"/>
    <col min="16" max="16" width="8.28125" style="27" bestFit="1" customWidth="1"/>
    <col min="17" max="18" width="2.7109375" style="1" customWidth="1"/>
    <col min="19" max="16384" width="9.140625" style="1" customWidth="1"/>
  </cols>
  <sheetData>
    <row r="1" spans="1:18" ht="15" customHeight="1">
      <c r="A1" s="1554" t="s">
        <v>516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4"/>
      <c r="O1" s="1554"/>
      <c r="P1" s="1554"/>
      <c r="Q1" s="1554"/>
      <c r="R1" s="1554"/>
    </row>
    <row r="2" spans="1:18" ht="15.75">
      <c r="A2" s="431"/>
      <c r="B2" s="196"/>
      <c r="C2" s="1515" t="s">
        <v>383</v>
      </c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  <c r="P2" s="1515"/>
      <c r="Q2" s="179"/>
      <c r="R2" s="57"/>
    </row>
    <row r="3" spans="1:18" ht="13.5" customHeight="1" thickBot="1">
      <c r="A3" s="431"/>
      <c r="B3" s="196"/>
      <c r="C3" s="1516" t="s">
        <v>426</v>
      </c>
      <c r="D3" s="1516"/>
      <c r="E3" s="1516"/>
      <c r="F3" s="1516"/>
      <c r="G3" s="1516"/>
      <c r="H3" s="1516"/>
      <c r="I3" s="1516"/>
      <c r="J3" s="1516"/>
      <c r="K3" s="1516"/>
      <c r="L3" s="1516"/>
      <c r="M3" s="1516"/>
      <c r="N3" s="1516"/>
      <c r="O3" s="1516"/>
      <c r="P3" s="1516"/>
      <c r="Q3" s="179"/>
      <c r="R3" s="57"/>
    </row>
    <row r="4" spans="1:18" ht="10.5" customHeight="1" thickBot="1">
      <c r="A4" s="431"/>
      <c r="B4" s="196"/>
      <c r="C4" s="1514" t="s">
        <v>393</v>
      </c>
      <c r="D4" s="1514"/>
      <c r="E4" s="1518" t="s">
        <v>392</v>
      </c>
      <c r="F4" s="1519"/>
      <c r="G4" s="1520"/>
      <c r="H4" s="1511" t="s">
        <v>436</v>
      </c>
      <c r="I4" s="1512"/>
      <c r="J4" s="1512"/>
      <c r="K4" s="1512"/>
      <c r="L4" s="1512"/>
      <c r="M4" s="1513"/>
      <c r="N4" s="1514" t="s">
        <v>333</v>
      </c>
      <c r="O4" s="1514"/>
      <c r="P4" s="1514"/>
      <c r="Q4" s="125"/>
      <c r="R4" s="57"/>
    </row>
    <row r="5" spans="1:18" ht="15.75" customHeight="1" thickBot="1">
      <c r="A5" s="431"/>
      <c r="B5" s="196"/>
      <c r="C5" s="1514"/>
      <c r="D5" s="1514"/>
      <c r="E5" s="1555" t="s">
        <v>390</v>
      </c>
      <c r="F5" s="1556"/>
      <c r="G5" s="1557"/>
      <c r="H5" s="1522" t="s">
        <v>444</v>
      </c>
      <c r="I5" s="1522"/>
      <c r="J5" s="1523"/>
      <c r="K5" s="1521" t="s">
        <v>443</v>
      </c>
      <c r="L5" s="1522"/>
      <c r="M5" s="1523"/>
      <c r="N5" s="1521" t="s">
        <v>391</v>
      </c>
      <c r="O5" s="1522"/>
      <c r="P5" s="1522"/>
      <c r="Q5" s="125"/>
      <c r="R5" s="57"/>
    </row>
    <row r="6" spans="1:18" ht="10.5" customHeight="1" thickBot="1">
      <c r="A6" s="431"/>
      <c r="B6" s="196"/>
      <c r="C6" s="1517"/>
      <c r="D6" s="1517"/>
      <c r="E6" s="1108">
        <v>2013</v>
      </c>
      <c r="F6" s="1109">
        <v>2014</v>
      </c>
      <c r="G6" s="1110" t="s">
        <v>12</v>
      </c>
      <c r="H6" s="866">
        <v>2013</v>
      </c>
      <c r="I6" s="867">
        <v>2014</v>
      </c>
      <c r="J6" s="868" t="s">
        <v>12</v>
      </c>
      <c r="K6" s="866">
        <v>2013</v>
      </c>
      <c r="L6" s="867">
        <v>2014</v>
      </c>
      <c r="M6" s="868" t="s">
        <v>12</v>
      </c>
      <c r="N6" s="866">
        <v>2013</v>
      </c>
      <c r="O6" s="867">
        <v>2014</v>
      </c>
      <c r="P6" s="870" t="s">
        <v>12</v>
      </c>
      <c r="Q6" s="125"/>
      <c r="R6" s="57"/>
    </row>
    <row r="7" spans="1:18" ht="13.5" customHeight="1">
      <c r="A7" s="431"/>
      <c r="B7" s="196"/>
      <c r="C7" s="919" t="s">
        <v>3</v>
      </c>
      <c r="D7" s="1019" t="s">
        <v>48</v>
      </c>
      <c r="E7" s="699">
        <v>102840</v>
      </c>
      <c r="F7" s="700">
        <v>86004</v>
      </c>
      <c r="G7" s="1080">
        <f aca="true" t="shared" si="0" ref="G7:G35">(F7/E7-1)*100</f>
        <v>-16.37106184364061</v>
      </c>
      <c r="H7" s="704">
        <v>0</v>
      </c>
      <c r="I7" s="705">
        <v>0</v>
      </c>
      <c r="J7" s="706">
        <v>0</v>
      </c>
      <c r="K7" s="707">
        <f>N7*1000/E7</f>
        <v>13.195254764683003</v>
      </c>
      <c r="L7" s="708">
        <f>O7*1000/F7</f>
        <v>17.17710804148644</v>
      </c>
      <c r="M7" s="706">
        <f>(L7/K7-1)*100</f>
        <v>30.176403167757226</v>
      </c>
      <c r="N7" s="1084">
        <v>1357</v>
      </c>
      <c r="O7" s="694">
        <v>1477.3</v>
      </c>
      <c r="P7" s="695">
        <f aca="true" t="shared" si="1" ref="P7:P35">(O7/N7-1)*100</f>
        <v>8.865143699336775</v>
      </c>
      <c r="Q7" s="125"/>
      <c r="R7" s="57"/>
    </row>
    <row r="8" spans="1:18" ht="13.5" customHeight="1">
      <c r="A8" s="431"/>
      <c r="B8" s="196"/>
      <c r="C8" s="865" t="s">
        <v>4</v>
      </c>
      <c r="D8" s="1020" t="s">
        <v>48</v>
      </c>
      <c r="E8" s="679">
        <v>6383</v>
      </c>
      <c r="F8" s="672">
        <v>4377</v>
      </c>
      <c r="G8" s="1028">
        <f t="shared" si="0"/>
        <v>-31.427228575904742</v>
      </c>
      <c r="H8" s="709">
        <v>0</v>
      </c>
      <c r="I8" s="710">
        <v>0</v>
      </c>
      <c r="J8" s="711">
        <v>0</v>
      </c>
      <c r="K8" s="689">
        <f>N8*1000/E8</f>
        <v>19.066269779100736</v>
      </c>
      <c r="L8" s="718">
        <f>O8*1000/F8</f>
        <v>15.695681973954764</v>
      </c>
      <c r="M8" s="711">
        <f>(L8/K8-1)*100</f>
        <v>-17.678276056077845</v>
      </c>
      <c r="N8" s="687">
        <v>121.7</v>
      </c>
      <c r="O8" s="686">
        <v>68.7</v>
      </c>
      <c r="P8" s="429">
        <f t="shared" si="1"/>
        <v>-43.54971240755957</v>
      </c>
      <c r="Q8" s="125"/>
      <c r="R8" s="57"/>
    </row>
    <row r="9" spans="1:18" ht="13.5" customHeight="1">
      <c r="A9" s="431"/>
      <c r="B9" s="196"/>
      <c r="C9" s="1524" t="s">
        <v>5</v>
      </c>
      <c r="D9" s="1008" t="s">
        <v>380</v>
      </c>
      <c r="E9" s="677">
        <v>11858.2</v>
      </c>
      <c r="F9" s="918">
        <v>11973</v>
      </c>
      <c r="G9" s="1023">
        <f t="shared" si="0"/>
        <v>0.968106457978446</v>
      </c>
      <c r="H9" s="1004">
        <f aca="true" t="shared" si="2" ref="H9:I30">N9*1000/E9</f>
        <v>33.64760250290938</v>
      </c>
      <c r="I9" s="1040">
        <f t="shared" si="2"/>
        <v>36.34009855508227</v>
      </c>
      <c r="J9" s="1024">
        <f>(I9/H9-1)*100</f>
        <v>8.002044282174591</v>
      </c>
      <c r="K9" s="716">
        <v>0</v>
      </c>
      <c r="L9" s="1005">
        <v>0</v>
      </c>
      <c r="M9" s="1006">
        <v>0</v>
      </c>
      <c r="N9" s="1016">
        <v>399</v>
      </c>
      <c r="O9" s="472">
        <v>435.1</v>
      </c>
      <c r="P9" s="1001">
        <f t="shared" si="1"/>
        <v>9.04761904761906</v>
      </c>
      <c r="Q9" s="125"/>
      <c r="R9" s="57"/>
    </row>
    <row r="10" spans="1:18" ht="13.5" customHeight="1">
      <c r="A10" s="431"/>
      <c r="B10" s="196"/>
      <c r="C10" s="1525"/>
      <c r="D10" s="1008" t="s">
        <v>381</v>
      </c>
      <c r="E10" s="677">
        <v>98473.7</v>
      </c>
      <c r="F10" s="918">
        <v>99366</v>
      </c>
      <c r="G10" s="1023">
        <f t="shared" si="0"/>
        <v>0.9061302662538351</v>
      </c>
      <c r="H10" s="920">
        <f t="shared" si="2"/>
        <v>6.916567570833634</v>
      </c>
      <c r="I10" s="1041">
        <f t="shared" si="2"/>
        <v>9.01918161141638</v>
      </c>
      <c r="J10" s="1024">
        <f>(I10/H10-1)*100</f>
        <v>30.39967468038953</v>
      </c>
      <c r="K10" s="716">
        <v>0</v>
      </c>
      <c r="L10" s="1032">
        <v>0</v>
      </c>
      <c r="M10" s="1024">
        <v>0</v>
      </c>
      <c r="N10" s="683">
        <v>681.1</v>
      </c>
      <c r="O10" s="1100">
        <v>896.2</v>
      </c>
      <c r="P10" s="1009">
        <f t="shared" si="1"/>
        <v>31.581265599765086</v>
      </c>
      <c r="Q10" s="125"/>
      <c r="R10" s="57"/>
    </row>
    <row r="11" spans="1:18" ht="13.5" customHeight="1">
      <c r="A11" s="431"/>
      <c r="B11" s="196"/>
      <c r="C11" s="1525"/>
      <c r="D11" s="917" t="s">
        <v>382</v>
      </c>
      <c r="E11" s="677">
        <v>24178.9</v>
      </c>
      <c r="F11" s="921">
        <v>32600</v>
      </c>
      <c r="G11" s="1027">
        <f t="shared" si="0"/>
        <v>34.82830070846894</v>
      </c>
      <c r="H11" s="713">
        <v>0</v>
      </c>
      <c r="I11" s="714">
        <v>0</v>
      </c>
      <c r="J11" s="1030">
        <v>0</v>
      </c>
      <c r="K11" s="712">
        <f>N11*1000/E11</f>
        <v>29.918648077455963</v>
      </c>
      <c r="L11" s="718">
        <f>O11*1000/F11</f>
        <v>31.901840490797547</v>
      </c>
      <c r="M11" s="1030">
        <f>(L11/K11-1)*100</f>
        <v>6.62861640073884</v>
      </c>
      <c r="N11" s="682">
        <v>723.4</v>
      </c>
      <c r="O11" s="1100">
        <v>1040</v>
      </c>
      <c r="P11" s="1051">
        <f t="shared" si="1"/>
        <v>43.765551562068005</v>
      </c>
      <c r="Q11" s="125"/>
      <c r="R11" s="57"/>
    </row>
    <row r="12" spans="1:18" ht="13.5" customHeight="1">
      <c r="A12" s="431"/>
      <c r="B12" s="196"/>
      <c r="C12" s="1526"/>
      <c r="D12" s="1087" t="s">
        <v>127</v>
      </c>
      <c r="E12" s="685">
        <f>E9+E10+E11</f>
        <v>134510.8</v>
      </c>
      <c r="F12" s="692">
        <f>F9+F10+F11</f>
        <v>143939</v>
      </c>
      <c r="G12" s="1028">
        <f>(F12/E12-1)*100</f>
        <v>7.009251301754227</v>
      </c>
      <c r="H12" s="689">
        <f>SUM(N9+N10)*1000/SUM(E9+E10)</f>
        <v>9.78955315733709</v>
      </c>
      <c r="I12" s="1092">
        <f>SUM(O9+O10)*1000/SUM(F9+F10)</f>
        <v>11.957175832367815</v>
      </c>
      <c r="J12" s="1090">
        <f>(I12/H12-1)*100</f>
        <v>22.142202408964206</v>
      </c>
      <c r="K12" s="689">
        <f>N11*1000/E11</f>
        <v>29.918648077455963</v>
      </c>
      <c r="L12" s="1092">
        <f>O11*1000/F11</f>
        <v>31.901840490797547</v>
      </c>
      <c r="M12" s="1090">
        <f>(L12/K12-1)*100</f>
        <v>6.62861640073884</v>
      </c>
      <c r="N12" s="685">
        <f>N9+N10+N11</f>
        <v>1803.5</v>
      </c>
      <c r="O12" s="692">
        <f>O9+O10+O11</f>
        <v>2371.3</v>
      </c>
      <c r="P12" s="1036">
        <f>(O12/N12-1)*100</f>
        <v>31.483227058497377</v>
      </c>
      <c r="Q12" s="125"/>
      <c r="R12" s="57"/>
    </row>
    <row r="13" spans="1:18" ht="13.5" customHeight="1">
      <c r="A13" s="431"/>
      <c r="B13" s="196"/>
      <c r="C13" s="1524" t="s">
        <v>9</v>
      </c>
      <c r="D13" s="1011" t="s">
        <v>47</v>
      </c>
      <c r="E13" s="1078">
        <v>85</v>
      </c>
      <c r="F13" s="918">
        <v>135</v>
      </c>
      <c r="G13" s="1081">
        <f t="shared" si="0"/>
        <v>58.823529411764696</v>
      </c>
      <c r="H13" s="1004">
        <f t="shared" si="2"/>
        <v>18.823529411764707</v>
      </c>
      <c r="I13" s="1040">
        <f t="shared" si="2"/>
        <v>14.814814814814815</v>
      </c>
      <c r="J13" s="1091">
        <f aca="true" t="shared" si="3" ref="J13:J30">(I13/H13-1)*100</f>
        <v>-21.2962962962963</v>
      </c>
      <c r="K13" s="1012">
        <v>0</v>
      </c>
      <c r="L13" s="1046">
        <v>0</v>
      </c>
      <c r="M13" s="1091">
        <v>0</v>
      </c>
      <c r="N13" s="1048">
        <v>1.6</v>
      </c>
      <c r="O13" s="1101">
        <v>2</v>
      </c>
      <c r="P13" s="1098">
        <f t="shared" si="1"/>
        <v>25</v>
      </c>
      <c r="Q13" s="125"/>
      <c r="R13" s="57"/>
    </row>
    <row r="14" spans="1:18" ht="13.5" customHeight="1">
      <c r="A14" s="431"/>
      <c r="B14" s="196"/>
      <c r="C14" s="1525"/>
      <c r="D14" s="1057" t="s">
        <v>48</v>
      </c>
      <c r="E14" s="924">
        <v>20805</v>
      </c>
      <c r="F14" s="921">
        <v>19980</v>
      </c>
      <c r="G14" s="1027">
        <f t="shared" si="0"/>
        <v>-3.965392934390777</v>
      </c>
      <c r="H14" s="713">
        <v>0</v>
      </c>
      <c r="I14" s="714">
        <v>0</v>
      </c>
      <c r="J14" s="1030">
        <v>0</v>
      </c>
      <c r="K14" s="712">
        <f>N14*1000/E14</f>
        <v>8.166306176399903</v>
      </c>
      <c r="L14" s="718">
        <f>O14*1000/F14</f>
        <v>8.198198198198199</v>
      </c>
      <c r="M14" s="1030">
        <f>(L14/K14-1)*100</f>
        <v>0.3905317913558193</v>
      </c>
      <c r="N14" s="683">
        <v>169.9</v>
      </c>
      <c r="O14" s="1100">
        <v>163.8</v>
      </c>
      <c r="P14" s="1009">
        <f t="shared" si="1"/>
        <v>-3.5903472630959388</v>
      </c>
      <c r="Q14" s="125"/>
      <c r="R14" s="57"/>
    </row>
    <row r="15" spans="1:18" ht="13.5" customHeight="1">
      <c r="A15" s="431"/>
      <c r="B15" s="196"/>
      <c r="C15" s="1526"/>
      <c r="D15" s="688" t="s">
        <v>127</v>
      </c>
      <c r="E15" s="1002">
        <f>E13+E14</f>
        <v>20890</v>
      </c>
      <c r="F15" s="674">
        <f>F13+F14</f>
        <v>20115</v>
      </c>
      <c r="G15" s="1029">
        <f>(F15/E15-1)*100</f>
        <v>-3.709909047391091</v>
      </c>
      <c r="H15" s="712">
        <f>N13*1000/E13</f>
        <v>18.823529411764707</v>
      </c>
      <c r="I15" s="1093">
        <f>O13*1000/F13</f>
        <v>14.814814814814815</v>
      </c>
      <c r="J15" s="1030">
        <f>(I15/H15-1)*100</f>
        <v>-21.2962962962963</v>
      </c>
      <c r="K15" s="712">
        <f>N14*1000/E14</f>
        <v>8.166306176399903</v>
      </c>
      <c r="L15" s="1093">
        <f>O14*1000/F14</f>
        <v>8.198198198198199</v>
      </c>
      <c r="M15" s="1030">
        <f>(L15/K15-1)*100</f>
        <v>0.3905317913558193</v>
      </c>
      <c r="N15" s="681">
        <f>N13+N14</f>
        <v>171.5</v>
      </c>
      <c r="O15" s="674">
        <f>O13+O14</f>
        <v>165.8</v>
      </c>
      <c r="P15" s="1036">
        <f>(O15/N15-1)*100</f>
        <v>-3.3236151603498465</v>
      </c>
      <c r="Q15" s="125"/>
      <c r="R15" s="57"/>
    </row>
    <row r="16" spans="1:18" ht="13.5" customHeight="1">
      <c r="A16" s="431"/>
      <c r="B16" s="196"/>
      <c r="C16" s="863" t="s">
        <v>10</v>
      </c>
      <c r="D16" s="1086" t="s">
        <v>47</v>
      </c>
      <c r="E16" s="678">
        <v>6382.6</v>
      </c>
      <c r="F16" s="1106">
        <v>6136.8</v>
      </c>
      <c r="G16" s="1029">
        <f t="shared" si="0"/>
        <v>-3.8510951649797898</v>
      </c>
      <c r="H16" s="712">
        <f t="shared" si="2"/>
        <v>41.61313571271895</v>
      </c>
      <c r="I16" s="1094">
        <f t="shared" si="2"/>
        <v>38.55429539825316</v>
      </c>
      <c r="J16" s="1030">
        <f t="shared" si="3"/>
        <v>-7.350660463520087</v>
      </c>
      <c r="K16" s="1079">
        <v>0</v>
      </c>
      <c r="L16" s="1033">
        <v>0</v>
      </c>
      <c r="M16" s="1030">
        <v>0</v>
      </c>
      <c r="N16" s="696">
        <v>265.6</v>
      </c>
      <c r="O16" s="1102">
        <v>236.6</v>
      </c>
      <c r="P16" s="1039">
        <f t="shared" si="1"/>
        <v>-10.918674698795193</v>
      </c>
      <c r="Q16" s="125"/>
      <c r="R16" s="57"/>
    </row>
    <row r="17" spans="1:18" ht="13.5" customHeight="1">
      <c r="A17" s="431"/>
      <c r="B17" s="196"/>
      <c r="C17" s="1528" t="s">
        <v>7</v>
      </c>
      <c r="D17" s="1015" t="s">
        <v>389</v>
      </c>
      <c r="E17" s="677">
        <v>521187</v>
      </c>
      <c r="F17" s="918">
        <v>501214</v>
      </c>
      <c r="G17" s="1023">
        <f t="shared" si="0"/>
        <v>-3.832213773559201</v>
      </c>
      <c r="H17" s="920">
        <f t="shared" si="2"/>
        <v>25.624200143134807</v>
      </c>
      <c r="I17" s="1041">
        <f t="shared" si="2"/>
        <v>21.555064303870203</v>
      </c>
      <c r="J17" s="1024">
        <f t="shared" si="3"/>
        <v>-15.880050173409222</v>
      </c>
      <c r="K17" s="716">
        <v>0</v>
      </c>
      <c r="L17" s="1032">
        <v>0</v>
      </c>
      <c r="M17" s="1024">
        <v>0</v>
      </c>
      <c r="N17" s="683">
        <v>13355</v>
      </c>
      <c r="O17" s="1100">
        <v>10803.7</v>
      </c>
      <c r="P17" s="1009">
        <f t="shared" si="1"/>
        <v>-19.103706476974914</v>
      </c>
      <c r="Q17" s="125"/>
      <c r="R17" s="57"/>
    </row>
    <row r="18" spans="1:18" ht="13.5" customHeight="1">
      <c r="A18" s="431"/>
      <c r="B18" s="196"/>
      <c r="C18" s="1528"/>
      <c r="D18" s="1017" t="s">
        <v>388</v>
      </c>
      <c r="E18" s="677">
        <v>169415</v>
      </c>
      <c r="F18" s="918">
        <v>174369</v>
      </c>
      <c r="G18" s="1023">
        <f t="shared" si="0"/>
        <v>2.924180267390719</v>
      </c>
      <c r="H18" s="920">
        <f t="shared" si="2"/>
        <v>30.7705929227046</v>
      </c>
      <c r="I18" s="1041">
        <f t="shared" si="2"/>
        <v>33.06493700141654</v>
      </c>
      <c r="J18" s="1024">
        <f t="shared" si="3"/>
        <v>7.456288166026903</v>
      </c>
      <c r="K18" s="716">
        <v>0</v>
      </c>
      <c r="L18" s="1032">
        <v>0</v>
      </c>
      <c r="M18" s="1024">
        <v>0</v>
      </c>
      <c r="N18" s="683">
        <v>5213</v>
      </c>
      <c r="O18" s="1100">
        <v>5765.5</v>
      </c>
      <c r="P18" s="1009">
        <f t="shared" si="1"/>
        <v>10.598503740648368</v>
      </c>
      <c r="Q18" s="125"/>
      <c r="R18" s="57"/>
    </row>
    <row r="19" spans="1:23" ht="13.5" customHeight="1">
      <c r="A19" s="431"/>
      <c r="B19" s="196"/>
      <c r="C19" s="1528"/>
      <c r="D19" s="1015" t="s">
        <v>384</v>
      </c>
      <c r="E19" s="677">
        <v>301152</v>
      </c>
      <c r="F19" s="918">
        <v>284582</v>
      </c>
      <c r="G19" s="1023">
        <f t="shared" si="0"/>
        <v>-5.50220486664541</v>
      </c>
      <c r="H19" s="920">
        <f t="shared" si="2"/>
        <v>27.006295824035703</v>
      </c>
      <c r="I19" s="1041">
        <f t="shared" si="2"/>
        <v>18.64067298704767</v>
      </c>
      <c r="J19" s="1024">
        <f t="shared" si="3"/>
        <v>-30.97656521092611</v>
      </c>
      <c r="K19" s="716">
        <v>0</v>
      </c>
      <c r="L19" s="1032">
        <v>0</v>
      </c>
      <c r="M19" s="1024">
        <v>0</v>
      </c>
      <c r="N19" s="683">
        <v>8133</v>
      </c>
      <c r="O19" s="1100">
        <v>5304.8</v>
      </c>
      <c r="P19" s="1009">
        <f t="shared" si="1"/>
        <v>-34.77437599901635</v>
      </c>
      <c r="Q19" s="125"/>
      <c r="R19" s="57"/>
      <c r="W19" s="473"/>
    </row>
    <row r="20" spans="1:18" ht="13.5" customHeight="1">
      <c r="A20" s="431"/>
      <c r="B20" s="196"/>
      <c r="C20" s="1528"/>
      <c r="D20" s="1015" t="s">
        <v>385</v>
      </c>
      <c r="E20" s="677">
        <v>8441</v>
      </c>
      <c r="F20" s="918">
        <v>8755</v>
      </c>
      <c r="G20" s="1023">
        <f t="shared" si="0"/>
        <v>3.71993839592466</v>
      </c>
      <c r="H20" s="1035">
        <v>0</v>
      </c>
      <c r="I20" s="1043">
        <v>0</v>
      </c>
      <c r="J20" s="1024">
        <v>0</v>
      </c>
      <c r="K20" s="920">
        <f>N20*1000/E20</f>
        <v>21.561426371283023</v>
      </c>
      <c r="L20" s="1047">
        <f>O20*1000/F20</f>
        <v>22.07881210736722</v>
      </c>
      <c r="M20" s="1024">
        <f>(L20/K20-1)*100</f>
        <v>2.399589559498194</v>
      </c>
      <c r="N20" s="683">
        <v>182</v>
      </c>
      <c r="O20" s="1100">
        <v>193.3</v>
      </c>
      <c r="P20" s="1009">
        <f t="shared" si="1"/>
        <v>6.208791208791209</v>
      </c>
      <c r="Q20" s="125"/>
      <c r="R20" s="57"/>
    </row>
    <row r="21" spans="1:18" ht="13.5" customHeight="1">
      <c r="A21" s="431"/>
      <c r="B21" s="196"/>
      <c r="C21" s="1528"/>
      <c r="D21" s="1015" t="s">
        <v>386</v>
      </c>
      <c r="E21" s="677">
        <v>33057</v>
      </c>
      <c r="F21" s="918">
        <v>34914</v>
      </c>
      <c r="G21" s="1023">
        <f t="shared" si="0"/>
        <v>5.6175696524185526</v>
      </c>
      <c r="H21" s="920">
        <f t="shared" si="2"/>
        <v>20.54027891218199</v>
      </c>
      <c r="I21" s="1041">
        <f t="shared" si="2"/>
        <v>22.05419029615627</v>
      </c>
      <c r="J21" s="1024">
        <f t="shared" si="3"/>
        <v>7.370451932258892</v>
      </c>
      <c r="K21" s="716">
        <v>0</v>
      </c>
      <c r="L21" s="1032">
        <v>0</v>
      </c>
      <c r="M21" s="1024">
        <v>0</v>
      </c>
      <c r="N21" s="683">
        <v>679</v>
      </c>
      <c r="O21" s="1100">
        <v>770</v>
      </c>
      <c r="P21" s="1009">
        <f t="shared" si="1"/>
        <v>13.4020618556701</v>
      </c>
      <c r="Q21" s="125"/>
      <c r="R21" s="57"/>
    </row>
    <row r="22" spans="1:18" ht="13.5" customHeight="1">
      <c r="A22" s="431"/>
      <c r="B22" s="196"/>
      <c r="C22" s="1528"/>
      <c r="D22" s="923" t="s">
        <v>387</v>
      </c>
      <c r="E22" s="924">
        <v>4545</v>
      </c>
      <c r="F22" s="921">
        <v>4714</v>
      </c>
      <c r="G22" s="1027">
        <f t="shared" si="0"/>
        <v>3.7183718371837093</v>
      </c>
      <c r="H22" s="713">
        <v>0</v>
      </c>
      <c r="I22" s="714">
        <v>0</v>
      </c>
      <c r="J22" s="1030">
        <v>0</v>
      </c>
      <c r="K22" s="712">
        <f>N22*1000/E22</f>
        <v>21.562156215621563</v>
      </c>
      <c r="L22" s="718">
        <f>O22*1000/F22</f>
        <v>22.083156554942725</v>
      </c>
      <c r="M22" s="1030">
        <f>(L22/K22-1)*100</f>
        <v>2.4162719818517253</v>
      </c>
      <c r="N22" s="1049">
        <v>98</v>
      </c>
      <c r="O22" s="1102">
        <v>104.1</v>
      </c>
      <c r="P22" s="1051">
        <f t="shared" si="1"/>
        <v>6.224489795918364</v>
      </c>
      <c r="Q22" s="125"/>
      <c r="R22" s="57"/>
    </row>
    <row r="23" spans="1:18" ht="13.5" customHeight="1">
      <c r="A23" s="431"/>
      <c r="B23" s="196"/>
      <c r="C23" s="1529"/>
      <c r="D23" s="1087" t="s">
        <v>127</v>
      </c>
      <c r="E23" s="685">
        <f>E17+E18+E19+E20+E21+E22</f>
        <v>1037797</v>
      </c>
      <c r="F23" s="692">
        <f>F17+F18+F19+F20+F21+F22</f>
        <v>1008548</v>
      </c>
      <c r="G23" s="1028">
        <f>(F23/E23-1)*100</f>
        <v>-2.81837392091131</v>
      </c>
      <c r="H23" s="689">
        <f>SUM(N17+N18+N19+N21)*1000/SUM(E17+E18+E19+E21)</f>
        <v>26.7171214985007</v>
      </c>
      <c r="I23" s="1092">
        <f>SUM(O17+O18+O19+O21)*1000/SUM(F17+F18+F19+F21)</f>
        <v>22.755982188348863</v>
      </c>
      <c r="J23" s="1090">
        <f>(I23/H23-1)*100</f>
        <v>-14.826220370986166</v>
      </c>
      <c r="K23" s="689">
        <f>SUM(N20+N22)*1000/SUM(E20+E22)</f>
        <v>21.561681811181273</v>
      </c>
      <c r="L23" s="1092">
        <f>SUM(O20+O22)*1000/SUM(F20+F22)</f>
        <v>22.080332615635903</v>
      </c>
      <c r="M23" s="1090">
        <f>(L23/K23-1)*100</f>
        <v>2.4054283380885</v>
      </c>
      <c r="N23" s="685">
        <f>N17+N18+N19+N20+N21+N22</f>
        <v>27660</v>
      </c>
      <c r="O23" s="692">
        <f>O17+O18+O19+O20+O21+O22</f>
        <v>22941.399999999998</v>
      </c>
      <c r="P23" s="1036">
        <f>(O23/N23-1)*100</f>
        <v>-17.059291395516997</v>
      </c>
      <c r="Q23" s="125"/>
      <c r="R23" s="57"/>
    </row>
    <row r="24" spans="1:18" ht="13.5" customHeight="1">
      <c r="A24" s="431"/>
      <c r="B24" s="196"/>
      <c r="C24" s="1088"/>
      <c r="D24" s="1011" t="s">
        <v>47</v>
      </c>
      <c r="E24" s="677">
        <v>170043</v>
      </c>
      <c r="F24" s="918">
        <v>150118</v>
      </c>
      <c r="G24" s="1023">
        <f t="shared" si="0"/>
        <v>-11.717624365601642</v>
      </c>
      <c r="H24" s="920">
        <f t="shared" si="2"/>
        <v>20.500696882553235</v>
      </c>
      <c r="I24" s="1041">
        <f t="shared" si="2"/>
        <v>19.029696638644268</v>
      </c>
      <c r="J24" s="1024">
        <f t="shared" si="3"/>
        <v>-7.175367024527035</v>
      </c>
      <c r="K24" s="716">
        <v>0</v>
      </c>
      <c r="L24" s="1032">
        <v>0</v>
      </c>
      <c r="M24" s="1024">
        <v>0</v>
      </c>
      <c r="N24" s="683">
        <v>3486</v>
      </c>
      <c r="O24" s="1100">
        <v>2856.7</v>
      </c>
      <c r="P24" s="1009">
        <f t="shared" si="1"/>
        <v>-18.052208835341364</v>
      </c>
      <c r="Q24" s="125"/>
      <c r="R24" s="57"/>
    </row>
    <row r="25" spans="1:18" ht="13.5" customHeight="1">
      <c r="A25" s="431"/>
      <c r="B25" s="196"/>
      <c r="C25" s="864" t="s">
        <v>29</v>
      </c>
      <c r="D25" s="923" t="s">
        <v>48</v>
      </c>
      <c r="E25" s="924">
        <v>283124</v>
      </c>
      <c r="F25" s="921">
        <v>283124</v>
      </c>
      <c r="G25" s="1027">
        <f t="shared" si="0"/>
        <v>0</v>
      </c>
      <c r="H25" s="713">
        <v>0</v>
      </c>
      <c r="I25" s="714">
        <v>0</v>
      </c>
      <c r="J25" s="1030">
        <v>0</v>
      </c>
      <c r="K25" s="712">
        <f>N25*1000/E25</f>
        <v>29.00142693660728</v>
      </c>
      <c r="L25" s="718">
        <f>O25*1000/F25</f>
        <v>35.14007996496235</v>
      </c>
      <c r="M25" s="1030">
        <f>(L25/K25-1)*100</f>
        <v>21.166727560589436</v>
      </c>
      <c r="N25" s="1049">
        <v>8211</v>
      </c>
      <c r="O25" s="1102">
        <v>9949</v>
      </c>
      <c r="P25" s="1051">
        <f t="shared" si="1"/>
        <v>21.16672756058946</v>
      </c>
      <c r="Q25" s="125"/>
      <c r="R25" s="57"/>
    </row>
    <row r="26" spans="1:18" ht="13.5" customHeight="1">
      <c r="A26" s="431"/>
      <c r="B26" s="196"/>
      <c r="C26" s="1089"/>
      <c r="D26" s="1087" t="s">
        <v>127</v>
      </c>
      <c r="E26" s="698">
        <f>E24+E25</f>
        <v>453167</v>
      </c>
      <c r="F26" s="672">
        <f>F24+F25</f>
        <v>433242</v>
      </c>
      <c r="G26" s="1082">
        <f>(F26/E26-1)*100</f>
        <v>-4.39683383829802</v>
      </c>
      <c r="H26" s="1004">
        <f>N24*1000/E24</f>
        <v>20.500696882553235</v>
      </c>
      <c r="I26" s="1095">
        <f>O24*1000/F24</f>
        <v>19.029696638644268</v>
      </c>
      <c r="J26" s="1024">
        <f>(I26/H26-1)*100</f>
        <v>-7.175367024527035</v>
      </c>
      <c r="K26" s="1004">
        <f>N25*1000/E25</f>
        <v>29.00142693660728</v>
      </c>
      <c r="L26" s="1095">
        <f>O25*1000/F25</f>
        <v>35.14007996496235</v>
      </c>
      <c r="M26" s="1024">
        <f>(L26/K26-1)*100</f>
        <v>21.166727560589436</v>
      </c>
      <c r="N26" s="1018">
        <f>N24+N25</f>
        <v>11697</v>
      </c>
      <c r="O26" s="1103">
        <f>O24+O25</f>
        <v>12805.7</v>
      </c>
      <c r="P26" s="1099">
        <f>(O26/N26-1)*100</f>
        <v>9.478498760365905</v>
      </c>
      <c r="Q26" s="125"/>
      <c r="R26" s="57"/>
    </row>
    <row r="27" spans="1:18" ht="13.5" customHeight="1">
      <c r="A27" s="431"/>
      <c r="B27" s="196"/>
      <c r="C27" s="1053" t="s">
        <v>30</v>
      </c>
      <c r="D27" s="1086" t="s">
        <v>47</v>
      </c>
      <c r="E27" s="679">
        <v>13276</v>
      </c>
      <c r="F27" s="1106">
        <v>12783</v>
      </c>
      <c r="G27" s="1028">
        <f t="shared" si="0"/>
        <v>-3.713467912021695</v>
      </c>
      <c r="H27" s="689">
        <f t="shared" si="2"/>
        <v>21.166013859596266</v>
      </c>
      <c r="I27" s="1096">
        <f t="shared" si="2"/>
        <v>22.866306813736994</v>
      </c>
      <c r="J27" s="1090">
        <f t="shared" si="3"/>
        <v>8.033127850239264</v>
      </c>
      <c r="K27" s="717">
        <v>0</v>
      </c>
      <c r="L27" s="1097">
        <v>0</v>
      </c>
      <c r="M27" s="1090">
        <v>0</v>
      </c>
      <c r="N27" s="685">
        <v>281</v>
      </c>
      <c r="O27" s="1104">
        <v>292.3</v>
      </c>
      <c r="P27" s="1036">
        <f t="shared" si="1"/>
        <v>4.02135231316727</v>
      </c>
      <c r="Q27" s="125"/>
      <c r="R27" s="57"/>
    </row>
    <row r="28" spans="1:20" ht="13.5" customHeight="1">
      <c r="A28" s="431"/>
      <c r="B28" s="196"/>
      <c r="C28" s="1054" t="s">
        <v>8</v>
      </c>
      <c r="D28" s="1000" t="s">
        <v>47</v>
      </c>
      <c r="E28" s="679">
        <v>162328.5</v>
      </c>
      <c r="F28" s="1106">
        <v>199686</v>
      </c>
      <c r="G28" s="1028">
        <f t="shared" si="0"/>
        <v>23.01351888300576</v>
      </c>
      <c r="H28" s="689">
        <f t="shared" si="2"/>
        <v>24.70361027176374</v>
      </c>
      <c r="I28" s="1096">
        <f t="shared" si="2"/>
        <v>22.980078723596044</v>
      </c>
      <c r="J28" s="1090">
        <f t="shared" si="3"/>
        <v>-6.976840750024682</v>
      </c>
      <c r="K28" s="717">
        <v>0</v>
      </c>
      <c r="L28" s="1097">
        <v>0</v>
      </c>
      <c r="M28" s="1090">
        <v>0</v>
      </c>
      <c r="N28" s="685">
        <v>4010.1</v>
      </c>
      <c r="O28" s="1104">
        <v>4588.8</v>
      </c>
      <c r="P28" s="1036">
        <f t="shared" si="1"/>
        <v>14.43106156953693</v>
      </c>
      <c r="Q28" s="125"/>
      <c r="R28" s="57"/>
      <c r="T28" s="1127"/>
    </row>
    <row r="29" spans="1:18" ht="13.5" customHeight="1">
      <c r="A29" s="431"/>
      <c r="B29" s="196"/>
      <c r="C29" s="865" t="s">
        <v>6</v>
      </c>
      <c r="D29" s="1000" t="s">
        <v>47</v>
      </c>
      <c r="E29" s="679">
        <v>65150</v>
      </c>
      <c r="F29" s="1106">
        <v>33251</v>
      </c>
      <c r="G29" s="1028">
        <f t="shared" si="0"/>
        <v>-48.96239447429011</v>
      </c>
      <c r="H29" s="689">
        <f t="shared" si="2"/>
        <v>25.326170376055256</v>
      </c>
      <c r="I29" s="1096">
        <f t="shared" si="2"/>
        <v>16.799494752037532</v>
      </c>
      <c r="J29" s="1090">
        <f t="shared" si="3"/>
        <v>-33.667449509379075</v>
      </c>
      <c r="K29" s="717">
        <v>0</v>
      </c>
      <c r="L29" s="1097">
        <v>0</v>
      </c>
      <c r="M29" s="1090">
        <v>0</v>
      </c>
      <c r="N29" s="685">
        <v>1650</v>
      </c>
      <c r="O29" s="1104">
        <v>558.6</v>
      </c>
      <c r="P29" s="1036">
        <f t="shared" si="1"/>
        <v>-66.14545454545456</v>
      </c>
      <c r="Q29" s="125"/>
      <c r="R29" s="57"/>
    </row>
    <row r="30" spans="1:18" ht="13.5" customHeight="1">
      <c r="A30" s="431"/>
      <c r="B30" s="196"/>
      <c r="C30" s="1551" t="s">
        <v>14</v>
      </c>
      <c r="D30" s="1011" t="s">
        <v>47</v>
      </c>
      <c r="E30" s="1026">
        <v>13305</v>
      </c>
      <c r="F30" s="1032">
        <v>10862</v>
      </c>
      <c r="G30" s="1024">
        <f t="shared" si="0"/>
        <v>-18.361518226230743</v>
      </c>
      <c r="H30" s="920">
        <f t="shared" si="2"/>
        <v>9.898534385569334</v>
      </c>
      <c r="I30" s="1041">
        <f t="shared" si="2"/>
        <v>8.534339900570798</v>
      </c>
      <c r="J30" s="1024">
        <f t="shared" si="3"/>
        <v>-13.78178255345902</v>
      </c>
      <c r="K30" s="1045">
        <v>0</v>
      </c>
      <c r="L30" s="1032">
        <v>0</v>
      </c>
      <c r="M30" s="1024">
        <v>0</v>
      </c>
      <c r="N30" s="683">
        <v>131.7</v>
      </c>
      <c r="O30" s="1043">
        <v>92.7</v>
      </c>
      <c r="P30" s="1010">
        <f t="shared" si="1"/>
        <v>-29.612756264236893</v>
      </c>
      <c r="Q30" s="125"/>
      <c r="R30" s="57"/>
    </row>
    <row r="31" spans="1:18" ht="13.5" customHeight="1">
      <c r="A31" s="431"/>
      <c r="B31" s="196"/>
      <c r="C31" s="1552"/>
      <c r="D31" s="923" t="s">
        <v>48</v>
      </c>
      <c r="E31" s="1003">
        <v>395</v>
      </c>
      <c r="F31" s="1033">
        <v>1725</v>
      </c>
      <c r="G31" s="1030">
        <f t="shared" si="0"/>
        <v>336.7088607594937</v>
      </c>
      <c r="H31" s="713">
        <v>0</v>
      </c>
      <c r="I31" s="719">
        <v>0</v>
      </c>
      <c r="J31" s="715">
        <v>0</v>
      </c>
      <c r="K31" s="712">
        <f>N31*1000/E31</f>
        <v>7.0886075949367084</v>
      </c>
      <c r="L31" s="718">
        <f>O31*1000/F31</f>
        <v>23.18840579710145</v>
      </c>
      <c r="M31" s="715">
        <f>(L31/K31-1)*100</f>
        <v>227.12215320910977</v>
      </c>
      <c r="N31" s="1049">
        <v>2.8</v>
      </c>
      <c r="O31" s="720">
        <v>40</v>
      </c>
      <c r="P31" s="470">
        <f t="shared" si="1"/>
        <v>1328.5714285714287</v>
      </c>
      <c r="Q31" s="125"/>
      <c r="R31" s="57"/>
    </row>
    <row r="32" spans="1:18" ht="13.5" customHeight="1" thickBot="1">
      <c r="A32" s="431"/>
      <c r="B32" s="196"/>
      <c r="C32" s="1552"/>
      <c r="D32" s="1077" t="s">
        <v>127</v>
      </c>
      <c r="E32" s="1105">
        <f>E30+E31</f>
        <v>13700</v>
      </c>
      <c r="F32" s="1034">
        <f>F30+F31</f>
        <v>12587</v>
      </c>
      <c r="G32" s="1083">
        <f>(F32/E32-1)*100</f>
        <v>-8.12408759124088</v>
      </c>
      <c r="H32" s="1063">
        <f>N30*1000/E30</f>
        <v>9.898534385569334</v>
      </c>
      <c r="I32" s="1107">
        <f>O32*1000/F32</f>
        <v>10.542623341542862</v>
      </c>
      <c r="J32" s="1067">
        <f>(I32/H32-1)*100</f>
        <v>6.506912345655125</v>
      </c>
      <c r="K32" s="1063">
        <f>N31*1000/E31</f>
        <v>7.0886075949367084</v>
      </c>
      <c r="L32" s="1066">
        <f>O31*1000/F31</f>
        <v>23.18840579710145</v>
      </c>
      <c r="M32" s="1067">
        <f>(L32/K32-1)*100</f>
        <v>227.12215320910977</v>
      </c>
      <c r="N32" s="1085">
        <f>N30+N31</f>
        <v>134.5</v>
      </c>
      <c r="O32" s="1014">
        <f>O30+O31</f>
        <v>132.7</v>
      </c>
      <c r="P32" s="430">
        <f>(O32/N32-1)*100</f>
        <v>-1.3382899628252898</v>
      </c>
      <c r="Q32" s="125"/>
      <c r="R32" s="57"/>
    </row>
    <row r="33" spans="1:20" ht="13.5" customHeight="1">
      <c r="A33" s="431"/>
      <c r="B33" s="196"/>
      <c r="C33" s="910"/>
      <c r="D33" s="1069" t="s">
        <v>47</v>
      </c>
      <c r="E33" s="1070">
        <f>E9+E10+E13+E16+E17+E18+E19+E21+E24+E27+E28+E29+E30</f>
        <v>1565713</v>
      </c>
      <c r="F33" s="1072">
        <f>F9+F10+F13+F16+F17+F18+F19+F21+F24+F27+F28+F29+F30</f>
        <v>1519389.8</v>
      </c>
      <c r="G33" s="1074">
        <f t="shared" si="0"/>
        <v>-2.9586009696540794</v>
      </c>
      <c r="H33" s="1558">
        <f>N33*1000/E33</f>
        <v>24.452821174761915</v>
      </c>
      <c r="I33" s="1545">
        <f>O33*1000/F33</f>
        <v>21.4579563453697</v>
      </c>
      <c r="J33" s="1560">
        <f>(I33/H33-1)*100</f>
        <v>-12.24752272135886</v>
      </c>
      <c r="K33" s="1537">
        <f>N34*1000/E34</f>
        <v>24.10808323454517</v>
      </c>
      <c r="L33" s="1545">
        <f>N34*1000/F34</f>
        <v>24.623424182886563</v>
      </c>
      <c r="M33" s="1535">
        <f>(L33/K33-1)*100</f>
        <v>2.137627215435134</v>
      </c>
      <c r="N33" s="1072">
        <f>N9+N10+N13+N16+N17+N18+N19+N21+N24+N27+N28+N29+N30</f>
        <v>38286.1</v>
      </c>
      <c r="O33" s="1072">
        <f>O9+O10+O13+O16+O17+O18+O19+O21+O24+O27+O28+O29+O30</f>
        <v>32602.999999999996</v>
      </c>
      <c r="P33" s="1073">
        <f t="shared" si="1"/>
        <v>-14.843768365020205</v>
      </c>
      <c r="Q33" s="125"/>
      <c r="R33" s="57"/>
      <c r="T33" s="675" t="s">
        <v>306</v>
      </c>
    </row>
    <row r="34" spans="1:18" ht="13.5" customHeight="1" thickBot="1">
      <c r="A34" s="431"/>
      <c r="B34" s="196"/>
      <c r="C34" s="911" t="s">
        <v>473</v>
      </c>
      <c r="D34" s="1068" t="s">
        <v>48</v>
      </c>
      <c r="E34" s="872">
        <f>E7+E8+E11+E14+E20+E22+E25+E31</f>
        <v>450711.9</v>
      </c>
      <c r="F34" s="874">
        <f>F7+F8+F11+F14+F20+F22+F25+F31</f>
        <v>441279</v>
      </c>
      <c r="G34" s="915">
        <f t="shared" si="0"/>
        <v>-2.0928890495236607</v>
      </c>
      <c r="H34" s="1559"/>
      <c r="I34" s="1546"/>
      <c r="J34" s="1561"/>
      <c r="K34" s="1538"/>
      <c r="L34" s="1546"/>
      <c r="M34" s="1536"/>
      <c r="N34" s="874">
        <f>N7+N8+N11+N14+N20+N22+N25+N31</f>
        <v>10865.8</v>
      </c>
      <c r="O34" s="873">
        <f>O7+O8+O11+O14+O20+O22+O25+O31</f>
        <v>13036.2</v>
      </c>
      <c r="P34" s="875">
        <f t="shared" si="1"/>
        <v>19.97459920116329</v>
      </c>
      <c r="Q34" s="125"/>
      <c r="R34" s="57"/>
    </row>
    <row r="35" spans="1:18" ht="13.5" customHeight="1" thickBot="1">
      <c r="A35" s="431"/>
      <c r="B35" s="196"/>
      <c r="C35" s="912"/>
      <c r="D35" s="871" t="s">
        <v>474</v>
      </c>
      <c r="E35" s="872">
        <f>E33+E34</f>
        <v>2016424.9</v>
      </c>
      <c r="F35" s="873">
        <f>F33+F34</f>
        <v>1960668.8</v>
      </c>
      <c r="G35" s="915">
        <f t="shared" si="0"/>
        <v>-2.7650967809413562</v>
      </c>
      <c r="H35" s="1507">
        <f>N35*1000/E35</f>
        <v>24.37576524669974</v>
      </c>
      <c r="I35" s="1508"/>
      <c r="J35" s="1507">
        <f>O35*1000/F35</f>
        <v>23.277363316027675</v>
      </c>
      <c r="K35" s="1508"/>
      <c r="L35" s="1509">
        <f>(J35/H35-1)*100</f>
        <v>-4.506122862422868</v>
      </c>
      <c r="M35" s="1510"/>
      <c r="N35" s="872">
        <f>N33+N34</f>
        <v>49151.899999999994</v>
      </c>
      <c r="O35" s="873">
        <f>O33+O34</f>
        <v>45639.2</v>
      </c>
      <c r="P35" s="875">
        <f t="shared" si="1"/>
        <v>-7.1466209851501095</v>
      </c>
      <c r="Q35" s="125"/>
      <c r="R35" s="57"/>
    </row>
    <row r="36" spans="1:18" ht="15">
      <c r="A36" s="431"/>
      <c r="B36" s="196"/>
      <c r="C36" s="181" t="s">
        <v>329</v>
      </c>
      <c r="D36" s="67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179"/>
      <c r="R36" s="57"/>
    </row>
    <row r="37" spans="1:18" ht="15">
      <c r="A37" s="431"/>
      <c r="B37" s="431"/>
      <c r="C37" s="431"/>
      <c r="D37" s="432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4:18" ht="15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4:18" ht="15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4:16" ht="15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4:16" ht="15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4:16" ht="15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4:16" ht="15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4:16" ht="15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4:16" ht="15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4:16" ht="15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4:16" ht="15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4:16" ht="15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 ht="15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 ht="15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 ht="15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 ht="15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 ht="15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 ht="15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 ht="15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 ht="15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 ht="15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 ht="15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 ht="15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 ht="15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 ht="15">
      <c r="D61"/>
      <c r="E61"/>
      <c r="F61"/>
      <c r="G61"/>
      <c r="H61"/>
      <c r="I61"/>
      <c r="J61"/>
      <c r="K61"/>
      <c r="L61"/>
      <c r="M61"/>
      <c r="N61"/>
      <c r="O61"/>
      <c r="P61"/>
    </row>
    <row r="62" ht="15">
      <c r="D62"/>
    </row>
  </sheetData>
  <sheetProtection/>
  <mergeCells count="24">
    <mergeCell ref="K33:K34"/>
    <mergeCell ref="L33:L34"/>
    <mergeCell ref="M33:M34"/>
    <mergeCell ref="C13:C15"/>
    <mergeCell ref="C17:C23"/>
    <mergeCell ref="H33:H34"/>
    <mergeCell ref="I33:I34"/>
    <mergeCell ref="J33:J34"/>
    <mergeCell ref="A1:R1"/>
    <mergeCell ref="H35:I35"/>
    <mergeCell ref="J35:K35"/>
    <mergeCell ref="L35:M35"/>
    <mergeCell ref="H4:M4"/>
    <mergeCell ref="C2:P2"/>
    <mergeCell ref="C3:P3"/>
    <mergeCell ref="C4:D6"/>
    <mergeCell ref="E4:G4"/>
    <mergeCell ref="N4:P4"/>
    <mergeCell ref="E5:G5"/>
    <mergeCell ref="H5:J5"/>
    <mergeCell ref="K5:M5"/>
    <mergeCell ref="N5:P5"/>
    <mergeCell ref="C30:C32"/>
    <mergeCell ref="C9:C12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15.7109375" style="28" customWidth="1"/>
    <col min="2" max="2" width="10.28125" style="28" bestFit="1" customWidth="1"/>
    <col min="3" max="3" width="8.140625" style="28" bestFit="1" customWidth="1"/>
    <col min="4" max="4" width="9.421875" style="28" customWidth="1"/>
    <col min="5" max="5" width="8.140625" style="28" bestFit="1" customWidth="1"/>
    <col min="6" max="6" width="10.28125" style="28" bestFit="1" customWidth="1"/>
    <col min="7" max="7" width="8.140625" style="28" bestFit="1" customWidth="1"/>
    <col min="8" max="8" width="9.421875" style="28" customWidth="1"/>
    <col min="9" max="9" width="8.140625" style="28" bestFit="1" customWidth="1"/>
    <col min="10" max="10" width="9.421875" style="28" customWidth="1"/>
    <col min="11" max="11" width="8.140625" style="28" bestFit="1" customWidth="1"/>
    <col min="12" max="12" width="9.421875" style="28" customWidth="1"/>
    <col min="13" max="13" width="8.57421875" style="28" customWidth="1"/>
    <col min="14" max="14" width="8.7109375" style="28" customWidth="1"/>
    <col min="15" max="16384" width="9.140625" style="28" customWidth="1"/>
  </cols>
  <sheetData>
    <row r="1" spans="1:13" ht="15">
      <c r="A1" s="1562" t="s">
        <v>519</v>
      </c>
      <c r="B1" s="1562"/>
      <c r="C1" s="1562"/>
      <c r="D1" s="1562"/>
      <c r="E1" s="1562"/>
      <c r="F1" s="1562"/>
      <c r="G1" s="1562"/>
      <c r="H1" s="1562"/>
      <c r="I1" s="1562"/>
      <c r="J1" s="1562"/>
      <c r="K1" s="1562"/>
      <c r="L1" s="1562"/>
      <c r="M1" s="1562"/>
    </row>
    <row r="2" spans="1:13" ht="15" customHeight="1">
      <c r="A2" s="1563" t="s">
        <v>159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</row>
    <row r="3" spans="1:13" ht="15" customHeight="1">
      <c r="A3" s="1564" t="s">
        <v>160</v>
      </c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</row>
    <row r="4" spans="1:13" ht="15" customHeight="1">
      <c r="A4" s="1565" t="s">
        <v>42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</row>
    <row r="5" spans="1:13" ht="15" customHeight="1">
      <c r="A5" s="1566" t="s">
        <v>161</v>
      </c>
      <c r="B5" s="1566"/>
      <c r="C5" s="1566"/>
      <c r="D5" s="1566"/>
      <c r="E5" s="1566"/>
      <c r="F5" s="1566"/>
      <c r="G5" s="1566"/>
      <c r="H5" s="1566"/>
      <c r="I5" s="1566"/>
      <c r="J5" s="1566"/>
      <c r="K5" s="1566"/>
      <c r="L5" s="1566"/>
      <c r="M5" s="1566"/>
    </row>
    <row r="6" spans="1:13" ht="15" customHeight="1">
      <c r="A6" s="1567" t="s">
        <v>162</v>
      </c>
      <c r="B6" s="1567"/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</row>
    <row r="7" spans="1:13" ht="15" customHeight="1">
      <c r="A7" s="1573" t="s">
        <v>163</v>
      </c>
      <c r="B7" s="1574" t="s">
        <v>440</v>
      </c>
      <c r="C7" s="1574"/>
      <c r="D7" s="1574" t="s">
        <v>203</v>
      </c>
      <c r="E7" s="1574"/>
      <c r="F7" s="1574" t="s">
        <v>165</v>
      </c>
      <c r="G7" s="1574"/>
      <c r="H7" s="1568" t="s">
        <v>166</v>
      </c>
      <c r="I7" s="1575"/>
      <c r="J7" s="1568" t="s">
        <v>31</v>
      </c>
      <c r="K7" s="1575"/>
      <c r="L7" s="1568" t="s">
        <v>167</v>
      </c>
      <c r="M7" s="1569"/>
    </row>
    <row r="8" spans="1:13" ht="15" customHeight="1">
      <c r="A8" s="1573"/>
      <c r="B8" s="30" t="s">
        <v>16</v>
      </c>
      <c r="C8" s="31" t="s">
        <v>168</v>
      </c>
      <c r="D8" s="30" t="s">
        <v>16</v>
      </c>
      <c r="E8" s="31" t="s">
        <v>168</v>
      </c>
      <c r="F8" s="30" t="s">
        <v>16</v>
      </c>
      <c r="G8" s="31" t="s">
        <v>168</v>
      </c>
      <c r="H8" s="30" t="s">
        <v>16</v>
      </c>
      <c r="I8" s="31" t="s">
        <v>168</v>
      </c>
      <c r="J8" s="30" t="s">
        <v>16</v>
      </c>
      <c r="K8" s="31" t="s">
        <v>168</v>
      </c>
      <c r="L8" s="30" t="s">
        <v>16</v>
      </c>
      <c r="M8" s="32" t="s">
        <v>168</v>
      </c>
    </row>
    <row r="9" spans="1:14" ht="13.5" customHeight="1">
      <c r="A9" s="334" t="s">
        <v>169</v>
      </c>
      <c r="B9" s="33">
        <v>43200</v>
      </c>
      <c r="C9" s="34">
        <f>(B9/B26)*100</f>
        <v>30.125523012552303</v>
      </c>
      <c r="D9" s="33">
        <v>45346</v>
      </c>
      <c r="E9" s="34">
        <f>(D9/D26)*100</f>
        <v>31.967571378216427</v>
      </c>
      <c r="F9" s="33">
        <v>49152</v>
      </c>
      <c r="G9" s="34">
        <f>(F9/F26)*100</f>
        <v>33.49483798425841</v>
      </c>
      <c r="H9" s="33">
        <v>50826</v>
      </c>
      <c r="I9" s="34">
        <f>(H9/H26)*100</f>
        <v>34.44382700153156</v>
      </c>
      <c r="J9" s="33">
        <v>43484</v>
      </c>
      <c r="K9" s="34">
        <f>(J9/J26)*100</f>
        <v>31.837051463212845</v>
      </c>
      <c r="L9" s="33">
        <v>48095</v>
      </c>
      <c r="M9" s="35">
        <f>(L9/L26)*100</f>
        <v>35.99090031504666</v>
      </c>
      <c r="N9" s="36"/>
    </row>
    <row r="10" spans="1:13" ht="13.5" customHeight="1">
      <c r="A10" s="335" t="s">
        <v>170</v>
      </c>
      <c r="B10" s="37">
        <v>27500</v>
      </c>
      <c r="C10" s="34">
        <f>(B10/B26)*100</f>
        <v>19.17712691771269</v>
      </c>
      <c r="D10" s="37">
        <v>27500</v>
      </c>
      <c r="E10" s="34">
        <f>(D10/D26)*100</f>
        <v>19.386676066267185</v>
      </c>
      <c r="F10" s="37">
        <v>27500</v>
      </c>
      <c r="G10" s="34">
        <f>(F10/F26)*100</f>
        <v>18.739991141095096</v>
      </c>
      <c r="H10" s="37">
        <v>25000</v>
      </c>
      <c r="I10" s="34">
        <f>(H10/H26)*100</f>
        <v>16.94203114623006</v>
      </c>
      <c r="J10" s="37">
        <v>26500</v>
      </c>
      <c r="K10" s="34">
        <f>(J10/J26)*100</f>
        <v>19.402121786752378</v>
      </c>
      <c r="L10" s="37">
        <v>20000</v>
      </c>
      <c r="M10" s="35">
        <f>(L10/L26)*100</f>
        <v>14.966587094311947</v>
      </c>
    </row>
    <row r="11" spans="1:14" ht="13.5" customHeight="1">
      <c r="A11" s="336" t="s">
        <v>171</v>
      </c>
      <c r="B11" s="37">
        <v>13500</v>
      </c>
      <c r="C11" s="34">
        <f>(B11/B26)*100</f>
        <v>9.414225941422593</v>
      </c>
      <c r="D11" s="37">
        <v>12500</v>
      </c>
      <c r="E11" s="34">
        <f>(D11/D26)*100</f>
        <v>8.812125484666902</v>
      </c>
      <c r="F11" s="37">
        <v>12124</v>
      </c>
      <c r="G11" s="34">
        <f>(F11/F26)*100</f>
        <v>8.261951003441343</v>
      </c>
      <c r="H11" s="37">
        <v>9927</v>
      </c>
      <c r="I11" s="34">
        <f>(H11/H26)*100</f>
        <v>6.727341727545031</v>
      </c>
      <c r="J11" s="37">
        <v>7652</v>
      </c>
      <c r="K11" s="34">
        <f>(J11/J26)*100</f>
        <v>5.602454185367139</v>
      </c>
      <c r="L11" s="37">
        <v>8523</v>
      </c>
      <c r="M11" s="35">
        <f>(L11/L26)*100</f>
        <v>6.378011090241037</v>
      </c>
      <c r="N11" s="50"/>
    </row>
    <row r="12" spans="1:13" ht="13.5" customHeight="1">
      <c r="A12" s="336" t="s">
        <v>172</v>
      </c>
      <c r="B12" s="37">
        <v>11000</v>
      </c>
      <c r="C12" s="34">
        <f>(B12/B26)*100</f>
        <v>7.670850767085077</v>
      </c>
      <c r="D12" s="37">
        <v>9000</v>
      </c>
      <c r="E12" s="34">
        <f>(D12/D26)*100</f>
        <v>6.3447303489601685</v>
      </c>
      <c r="F12" s="37">
        <v>11667</v>
      </c>
      <c r="G12" s="34">
        <f>(F12/F26)*100</f>
        <v>7.950526423387509</v>
      </c>
      <c r="H12" s="37">
        <v>13048</v>
      </c>
      <c r="I12" s="34">
        <f>(H12/H26)*100</f>
        <v>8.842384895840393</v>
      </c>
      <c r="J12" s="37">
        <v>7288</v>
      </c>
      <c r="K12" s="34">
        <f>(J12/J26)*100</f>
        <v>5.335949569126465</v>
      </c>
      <c r="L12" s="37">
        <v>9129</v>
      </c>
      <c r="M12" s="35">
        <f>(L12/L26)*100</f>
        <v>6.831498679198688</v>
      </c>
    </row>
    <row r="13" spans="1:13" ht="13.5" customHeight="1">
      <c r="A13" s="336" t="s">
        <v>173</v>
      </c>
      <c r="B13" s="37">
        <v>6400</v>
      </c>
      <c r="C13" s="34">
        <f>(B13/B26)*100</f>
        <v>4.463040446304045</v>
      </c>
      <c r="D13" s="37">
        <v>6625</v>
      </c>
      <c r="E13" s="34">
        <f>(D13/D26)*100</f>
        <v>4.670426506873458</v>
      </c>
      <c r="F13" s="37">
        <v>6527</v>
      </c>
      <c r="G13" s="34">
        <f>(F13/F26)*100</f>
        <v>4.447851715561007</v>
      </c>
      <c r="H13" s="37">
        <v>6233</v>
      </c>
      <c r="I13" s="34">
        <f>(H13/H26)*100</f>
        <v>4.223987205378078</v>
      </c>
      <c r="J13" s="37">
        <v>6798</v>
      </c>
      <c r="K13" s="34">
        <f>(J13/J26)*100</f>
        <v>4.977193354956326</v>
      </c>
      <c r="L13" s="37">
        <v>7500</v>
      </c>
      <c r="M13" s="35">
        <f>(L13/L26)*100</f>
        <v>5.612470160366981</v>
      </c>
    </row>
    <row r="14" spans="1:13" ht="13.5" customHeight="1">
      <c r="A14" s="336" t="s">
        <v>174</v>
      </c>
      <c r="B14" s="37">
        <v>5800</v>
      </c>
      <c r="C14" s="34">
        <f>(B14/B26)*100</f>
        <v>4.044630404463041</v>
      </c>
      <c r="D14" s="37">
        <v>5517</v>
      </c>
      <c r="E14" s="34">
        <f>(D14/D26)*100</f>
        <v>3.8893197039125837</v>
      </c>
      <c r="F14" s="37">
        <v>5075</v>
      </c>
      <c r="G14" s="34">
        <f>(F14/F26)*100</f>
        <v>3.4583801833111862</v>
      </c>
      <c r="H14" s="37">
        <v>4977</v>
      </c>
      <c r="I14" s="34">
        <f>(H14/H26)*100</f>
        <v>3.37281956059148</v>
      </c>
      <c r="J14" s="37">
        <v>4921</v>
      </c>
      <c r="K14" s="34">
        <f>(J14/J26)*100</f>
        <v>3.60293740802296</v>
      </c>
      <c r="L14" s="37">
        <v>4728</v>
      </c>
      <c r="M14" s="35">
        <f>(L14/L26)*100</f>
        <v>3.538101189095345</v>
      </c>
    </row>
    <row r="15" spans="1:13" ht="13.5" customHeight="1">
      <c r="A15" s="336" t="s">
        <v>176</v>
      </c>
      <c r="B15" s="37">
        <v>5800</v>
      </c>
      <c r="C15" s="34">
        <f>(B15/B26)*100</f>
        <v>4.044630404463041</v>
      </c>
      <c r="D15" s="37">
        <v>5400</v>
      </c>
      <c r="E15" s="34">
        <f>(D15/D26)*100</f>
        <v>3.8068382093761017</v>
      </c>
      <c r="F15" s="37">
        <v>4568</v>
      </c>
      <c r="G15" s="34">
        <f>(F15/F26)*100</f>
        <v>3.112882892091724</v>
      </c>
      <c r="H15" s="37">
        <v>4537</v>
      </c>
      <c r="I15" s="34">
        <f>(H15/H26)*100</f>
        <v>3.074639812417831</v>
      </c>
      <c r="J15" s="37">
        <v>5903</v>
      </c>
      <c r="K15" s="34">
        <f>(J15/J26)*100</f>
        <v>4.321914147441483</v>
      </c>
      <c r="L15" s="37">
        <v>4331</v>
      </c>
      <c r="M15" s="35">
        <f>(L15/L26)*100</f>
        <v>3.2410144352732524</v>
      </c>
    </row>
    <row r="16" spans="1:13" ht="13.5" customHeight="1">
      <c r="A16" s="336" t="s">
        <v>177</v>
      </c>
      <c r="B16" s="37">
        <v>3900</v>
      </c>
      <c r="C16" s="34">
        <f>(B16/B26)*100</f>
        <v>2.7196652719665275</v>
      </c>
      <c r="D16" s="37">
        <v>3900</v>
      </c>
      <c r="E16" s="34">
        <f>(D16/D26)*100</f>
        <v>2.7493831512160734</v>
      </c>
      <c r="F16" s="37">
        <v>3916</v>
      </c>
      <c r="G16" s="34">
        <f>(F16/F26)*100</f>
        <v>2.668574738491942</v>
      </c>
      <c r="H16" s="37">
        <v>4327</v>
      </c>
      <c r="I16" s="34">
        <f>(H16/H26)*100</f>
        <v>2.932326750789499</v>
      </c>
      <c r="J16" s="37">
        <v>4563</v>
      </c>
      <c r="K16" s="34">
        <f>(J16/J26)*100</f>
        <v>3.340825725017023</v>
      </c>
      <c r="L16" s="37">
        <v>4001</v>
      </c>
      <c r="M16" s="35">
        <f>(L16/L26)*100</f>
        <v>2.994065748217105</v>
      </c>
    </row>
    <row r="17" spans="1:13" ht="13.5" customHeight="1">
      <c r="A17" s="336" t="s">
        <v>178</v>
      </c>
      <c r="B17" s="37">
        <v>4800</v>
      </c>
      <c r="C17" s="34">
        <f>(B17/B26)*100</f>
        <v>3.3472803347280333</v>
      </c>
      <c r="D17" s="37">
        <v>3800</v>
      </c>
      <c r="E17" s="34">
        <f>(D17/D26)*100</f>
        <v>2.678886147338738</v>
      </c>
      <c r="F17" s="37">
        <v>3602</v>
      </c>
      <c r="G17" s="34">
        <f>(F17/F26)*100</f>
        <v>2.4545981123718015</v>
      </c>
      <c r="H17" s="37">
        <v>3878</v>
      </c>
      <c r="I17" s="34">
        <f>(H17/H26)*100</f>
        <v>2.628047871403207</v>
      </c>
      <c r="J17" s="37">
        <v>3075</v>
      </c>
      <c r="K17" s="34">
        <f>(J17/J26)*100</f>
        <v>2.2513782828023987</v>
      </c>
      <c r="L17" s="37">
        <v>3223</v>
      </c>
      <c r="M17" s="35">
        <f>(L17/L26)*100</f>
        <v>2.4118655102483704</v>
      </c>
    </row>
    <row r="18" spans="1:13" ht="13.5" customHeight="1">
      <c r="A18" s="336" t="s">
        <v>179</v>
      </c>
      <c r="B18" s="37">
        <v>3400</v>
      </c>
      <c r="C18" s="34">
        <f>(B18/B26)*100</f>
        <v>2.3709902370990235</v>
      </c>
      <c r="D18" s="37">
        <v>3500</v>
      </c>
      <c r="E18" s="34">
        <f>(D18/D26)*100</f>
        <v>2.4673951357067323</v>
      </c>
      <c r="F18" s="37">
        <v>3159</v>
      </c>
      <c r="G18" s="34">
        <f>(F18/F26)*100</f>
        <v>2.152713891444342</v>
      </c>
      <c r="H18" s="37">
        <v>3743</v>
      </c>
      <c r="I18" s="34">
        <f>(H18/H26)*100</f>
        <v>2.5365609032135645</v>
      </c>
      <c r="J18" s="37">
        <v>3840</v>
      </c>
      <c r="K18" s="34">
        <f>(J18/J26)*100</f>
        <v>2.8114772702312876</v>
      </c>
      <c r="L18" s="37">
        <v>3950</v>
      </c>
      <c r="M18" s="35">
        <f>(L18/L26)*100</f>
        <v>2.95590095112661</v>
      </c>
    </row>
    <row r="19" spans="1:13" ht="13.5" customHeight="1">
      <c r="A19" s="336" t="s">
        <v>175</v>
      </c>
      <c r="B19" s="37">
        <v>3200</v>
      </c>
      <c r="C19" s="34">
        <f>(B19/B26)*100</f>
        <v>2.2315202231520224</v>
      </c>
      <c r="D19" s="37">
        <v>3400</v>
      </c>
      <c r="E19" s="34">
        <f>(D19/D26)*100</f>
        <v>2.396898131829397</v>
      </c>
      <c r="F19" s="37">
        <v>4338</v>
      </c>
      <c r="G19" s="34">
        <f>(F19/F26)*100</f>
        <v>2.9561484207298374</v>
      </c>
      <c r="H19" s="37">
        <v>4453</v>
      </c>
      <c r="I19" s="34">
        <f>(H19/H26)*100</f>
        <v>3.017714587766498</v>
      </c>
      <c r="J19" s="37">
        <v>5373</v>
      </c>
      <c r="K19" s="34">
        <f>(J19/J26)*100</f>
        <v>3.9338717117064346</v>
      </c>
      <c r="L19" s="37">
        <v>4069</v>
      </c>
      <c r="M19" s="35">
        <f>(L19/L26)*100</f>
        <v>3.0449521443377656</v>
      </c>
    </row>
    <row r="20" spans="1:13" ht="13.5" customHeight="1">
      <c r="A20" s="336" t="s">
        <v>180</v>
      </c>
      <c r="B20" s="37">
        <v>1800</v>
      </c>
      <c r="C20" s="34">
        <f>(B20/B26)*100</f>
        <v>1.2552301255230125</v>
      </c>
      <c r="D20" s="37">
        <v>2175</v>
      </c>
      <c r="E20" s="34">
        <f>(D20/D26)*100</f>
        <v>1.5333098343320408</v>
      </c>
      <c r="F20" s="37">
        <v>1923</v>
      </c>
      <c r="G20" s="34">
        <f>(F20/F26)*100</f>
        <v>1.3104364714300316</v>
      </c>
      <c r="H20" s="37">
        <v>2046</v>
      </c>
      <c r="I20" s="34">
        <f>(H20/H26)*100</f>
        <v>1.386535829007468</v>
      </c>
      <c r="J20" s="37">
        <v>1886</v>
      </c>
      <c r="K20" s="34">
        <f>(J20/J26)*100</f>
        <v>1.380845346785471</v>
      </c>
      <c r="L20" s="37">
        <v>982</v>
      </c>
      <c r="M20" s="35">
        <f>(L20/L26)*100</f>
        <v>0.7348594263307167</v>
      </c>
    </row>
    <row r="21" spans="1:13" ht="13.5" customHeight="1">
      <c r="A21" s="336" t="s">
        <v>181</v>
      </c>
      <c r="B21" s="37">
        <v>2000</v>
      </c>
      <c r="C21" s="34">
        <f>(B21/B26)*100</f>
        <v>1.394700139470014</v>
      </c>
      <c r="D21" s="37">
        <v>2000</v>
      </c>
      <c r="E21" s="34">
        <f>(D21/D26)*100</f>
        <v>1.4099400775467044</v>
      </c>
      <c r="F21" s="37">
        <v>2017</v>
      </c>
      <c r="G21" s="34">
        <f>(F21/F26)*100</f>
        <v>1.3744931684214112</v>
      </c>
      <c r="H21" s="37">
        <v>1890</v>
      </c>
      <c r="I21" s="34">
        <f>(H21/H26)*100</f>
        <v>1.2808175546549925</v>
      </c>
      <c r="J21" s="37">
        <v>2193</v>
      </c>
      <c r="K21" s="34">
        <f>(J21/J26)*100</f>
        <v>1.6056170972961499</v>
      </c>
      <c r="L21" s="37">
        <v>1634</v>
      </c>
      <c r="M21" s="35">
        <f>(L21/L26)*100</f>
        <v>1.2227701656052863</v>
      </c>
    </row>
    <row r="22" spans="1:13" ht="13.5" customHeight="1">
      <c r="A22" s="336" t="s">
        <v>182</v>
      </c>
      <c r="B22" s="37">
        <v>1508</v>
      </c>
      <c r="C22" s="34">
        <f>(B22/B26)*100</f>
        <v>1.0516039051603905</v>
      </c>
      <c r="D22" s="37">
        <v>1508</v>
      </c>
      <c r="E22" s="34">
        <f>(D22/D26)*100</f>
        <v>1.0630948184702151</v>
      </c>
      <c r="F22" s="37">
        <v>1444</v>
      </c>
      <c r="G22" s="34">
        <f>(F22/F26)*100</f>
        <v>0.9840198984633208</v>
      </c>
      <c r="H22" s="37">
        <v>1571</v>
      </c>
      <c r="I22" s="34">
        <f>(H22/H26)*100</f>
        <v>1.064637237229097</v>
      </c>
      <c r="J22" s="37">
        <v>1462</v>
      </c>
      <c r="K22" s="34">
        <f>(J22/J26)*100</f>
        <v>1.070411398197433</v>
      </c>
      <c r="L22" s="37">
        <v>1392</v>
      </c>
      <c r="M22" s="35">
        <f>(L22/L26)*100</f>
        <v>1.0416744617641116</v>
      </c>
    </row>
    <row r="23" spans="1:13" ht="13.5" customHeight="1">
      <c r="A23" s="336" t="s">
        <v>183</v>
      </c>
      <c r="B23" s="37">
        <v>680</v>
      </c>
      <c r="C23" s="34">
        <f>(B23/B26)*100</f>
        <v>0.47419804741980476</v>
      </c>
      <c r="D23" s="37">
        <v>680</v>
      </c>
      <c r="E23" s="34">
        <f>(D23/D26)*100</f>
        <v>0.4793796263658795</v>
      </c>
      <c r="F23" s="37">
        <v>537</v>
      </c>
      <c r="G23" s="34">
        <f>(F23/F26)*100</f>
        <v>0.36594091791883876</v>
      </c>
      <c r="H23" s="37">
        <v>1235</v>
      </c>
      <c r="I23" s="34">
        <f>(H23/H26)*100</f>
        <v>0.8369363386237649</v>
      </c>
      <c r="J23" s="37">
        <v>1152</v>
      </c>
      <c r="K23" s="34">
        <f>(J23/J26)*100</f>
        <v>0.8434431810693863</v>
      </c>
      <c r="L23" s="37">
        <v>1814</v>
      </c>
      <c r="M23" s="35">
        <f>(L23/L26)*100</f>
        <v>1.3574694494540938</v>
      </c>
    </row>
    <row r="24" spans="1:13" ht="15" customHeight="1" hidden="1">
      <c r="A24" s="336"/>
      <c r="B24" s="37">
        <f>SUM(B9:B23)</f>
        <v>134488</v>
      </c>
      <c r="C24" s="335"/>
      <c r="D24" s="37">
        <f>SUM(D9:D23)</f>
        <v>132851</v>
      </c>
      <c r="E24" s="335"/>
      <c r="F24" s="37">
        <f>SUM(F9:F23)</f>
        <v>137549</v>
      </c>
      <c r="G24" s="335"/>
      <c r="H24" s="37">
        <f>SUM(H9:H23)</f>
        <v>137691</v>
      </c>
      <c r="I24" s="335"/>
      <c r="J24" s="37">
        <f>SUM(J9:J23)</f>
        <v>126090</v>
      </c>
      <c r="K24" s="335"/>
      <c r="L24" s="37">
        <f>SUM(L9:L23)</f>
        <v>123371</v>
      </c>
      <c r="M24" s="336"/>
    </row>
    <row r="25" spans="1:13" ht="15">
      <c r="A25" s="336" t="s">
        <v>184</v>
      </c>
      <c r="B25" s="38">
        <f>B26-B24</f>
        <v>8912</v>
      </c>
      <c r="C25" s="39">
        <f>(B25/B26)*100</f>
        <v>6.214783821478382</v>
      </c>
      <c r="D25" s="38">
        <f>D26-D24</f>
        <v>8999</v>
      </c>
      <c r="E25" s="39">
        <f>(D25/D26)*100</f>
        <v>6.344025378921396</v>
      </c>
      <c r="F25" s="38">
        <f>F26-F24</f>
        <v>9196</v>
      </c>
      <c r="G25" s="39">
        <f>(F25/F26)*100</f>
        <v>6.266653037582201</v>
      </c>
      <c r="H25" s="38">
        <f>H26-H24</f>
        <v>9871</v>
      </c>
      <c r="I25" s="39">
        <f>(H25/H26)*100</f>
        <v>6.689391577777476</v>
      </c>
      <c r="J25" s="38">
        <f>J26-J24</f>
        <v>10493</v>
      </c>
      <c r="K25" s="39">
        <f>(J25/J26)*100</f>
        <v>7.682508072014819</v>
      </c>
      <c r="L25" s="38">
        <f>L26-L24</f>
        <v>10260</v>
      </c>
      <c r="M25" s="40">
        <f>(L25/L26)*100</f>
        <v>7.677859179382029</v>
      </c>
    </row>
    <row r="26" spans="1:13" ht="18" customHeight="1">
      <c r="A26" s="337" t="s">
        <v>115</v>
      </c>
      <c r="B26" s="338">
        <v>143400</v>
      </c>
      <c r="C26" s="339">
        <f>SUM(C9:C25)</f>
        <v>99.99999999999999</v>
      </c>
      <c r="D26" s="338">
        <v>141850</v>
      </c>
      <c r="E26" s="339">
        <f>SUM(E9:E25)</f>
        <v>100.00000000000004</v>
      </c>
      <c r="F26" s="338">
        <v>146745</v>
      </c>
      <c r="G26" s="339">
        <f>SUM(G9:G25)</f>
        <v>99.99999999999999</v>
      </c>
      <c r="H26" s="338">
        <v>147562</v>
      </c>
      <c r="I26" s="339">
        <f>SUM(I9:I25)</f>
        <v>99.99999999999999</v>
      </c>
      <c r="J26" s="338">
        <v>136583</v>
      </c>
      <c r="K26" s="339">
        <f>SUM(K9:K25)</f>
        <v>99.99999999999997</v>
      </c>
      <c r="L26" s="338">
        <v>133631</v>
      </c>
      <c r="M26" s="340">
        <f>SUM(M9:M25)</f>
        <v>100.00000000000003</v>
      </c>
    </row>
    <row r="27" spans="1:13" ht="15" customHeight="1">
      <c r="A27" s="341" t="s">
        <v>185</v>
      </c>
      <c r="B27" s="341"/>
      <c r="C27" s="341"/>
      <c r="D27" s="41"/>
      <c r="E27" s="41"/>
      <c r="F27" s="26"/>
      <c r="G27" s="26"/>
      <c r="H27" s="26"/>
      <c r="I27" s="26"/>
      <c r="J27" s="26"/>
      <c r="K27" s="26"/>
      <c r="L27" s="26"/>
      <c r="M27" s="26"/>
    </row>
    <row r="28" spans="1:13" ht="9" customHeight="1">
      <c r="A28" s="42"/>
      <c r="B28" s="42"/>
      <c r="C28" s="42"/>
      <c r="D28" s="41"/>
      <c r="E28" s="41"/>
      <c r="F28" s="26"/>
      <c r="G28" s="26"/>
      <c r="H28" s="26"/>
      <c r="I28" s="26"/>
      <c r="J28" s="26"/>
      <c r="K28" s="26"/>
      <c r="L28" s="26"/>
      <c r="M28" s="26"/>
    </row>
    <row r="29" spans="1:13" ht="15" customHeight="1">
      <c r="A29" s="1570" t="s">
        <v>187</v>
      </c>
      <c r="B29" s="1570"/>
      <c r="C29" s="1570"/>
      <c r="D29" s="1571"/>
      <c r="E29" s="1571"/>
      <c r="F29" s="1571"/>
      <c r="G29" s="1571"/>
      <c r="H29" s="1571"/>
      <c r="I29" s="1571"/>
      <c r="J29" s="1571"/>
      <c r="K29" s="1571"/>
      <c r="L29" s="1571"/>
      <c r="M29" s="1572"/>
    </row>
    <row r="30" spans="1:13" ht="15" customHeight="1">
      <c r="A30" s="1573" t="s">
        <v>163</v>
      </c>
      <c r="B30" s="1574" t="s">
        <v>440</v>
      </c>
      <c r="C30" s="1574"/>
      <c r="D30" s="1574" t="s">
        <v>203</v>
      </c>
      <c r="E30" s="1574"/>
      <c r="F30" s="1574" t="s">
        <v>165</v>
      </c>
      <c r="G30" s="1574"/>
      <c r="H30" s="1568" t="s">
        <v>166</v>
      </c>
      <c r="I30" s="1575"/>
      <c r="J30" s="1568" t="s">
        <v>31</v>
      </c>
      <c r="K30" s="1575"/>
      <c r="L30" s="1568" t="s">
        <v>167</v>
      </c>
      <c r="M30" s="1569"/>
    </row>
    <row r="31" spans="1:13" ht="15" customHeight="1">
      <c r="A31" s="1573"/>
      <c r="B31" s="30" t="s">
        <v>18</v>
      </c>
      <c r="C31" s="30" t="s">
        <v>168</v>
      </c>
      <c r="D31" s="30" t="s">
        <v>18</v>
      </c>
      <c r="E31" s="30" t="s">
        <v>168</v>
      </c>
      <c r="F31" s="30" t="s">
        <v>18</v>
      </c>
      <c r="G31" s="30" t="s">
        <v>168</v>
      </c>
      <c r="H31" s="30" t="s">
        <v>18</v>
      </c>
      <c r="I31" s="30" t="s">
        <v>168</v>
      </c>
      <c r="J31" s="30" t="s">
        <v>18</v>
      </c>
      <c r="K31" s="30" t="s">
        <v>168</v>
      </c>
      <c r="L31" s="30" t="s">
        <v>18</v>
      </c>
      <c r="M31" s="43" t="s">
        <v>168</v>
      </c>
    </row>
    <row r="32" spans="1:13" ht="13.5" customHeight="1">
      <c r="A32" s="342" t="s">
        <v>169</v>
      </c>
      <c r="B32" s="33">
        <v>37100</v>
      </c>
      <c r="C32" s="44">
        <f>(B32/B49)*100</f>
        <v>33.48375451263538</v>
      </c>
      <c r="D32" s="33">
        <v>36735</v>
      </c>
      <c r="E32" s="44">
        <f>(D32/D49)*100</f>
        <v>32.878956036087644</v>
      </c>
      <c r="F32" s="33">
        <v>32010</v>
      </c>
      <c r="G32" s="44">
        <f>(F32/F49)*100</f>
        <v>28.816809355335295</v>
      </c>
      <c r="H32" s="33">
        <v>28735</v>
      </c>
      <c r="I32" s="44">
        <f>(H32/H49)*100</f>
        <v>25.393921719381034</v>
      </c>
      <c r="J32" s="33">
        <v>33610</v>
      </c>
      <c r="K32" s="44">
        <f>(J32/J49)*100</f>
        <v>32.14022740095436</v>
      </c>
      <c r="L32" s="33">
        <v>33494</v>
      </c>
      <c r="M32" s="45">
        <f>(L32/L49)*100</f>
        <v>34.55590289599389</v>
      </c>
    </row>
    <row r="33" spans="1:13" ht="13.5" customHeight="1">
      <c r="A33" s="335" t="s">
        <v>170</v>
      </c>
      <c r="B33" s="46">
        <v>20200</v>
      </c>
      <c r="C33" s="34">
        <f>(B33/B49)*100</f>
        <v>18.231046931407942</v>
      </c>
      <c r="D33" s="46">
        <v>25000</v>
      </c>
      <c r="E33" s="34">
        <f>(D33/D49)*100</f>
        <v>22.37576972647859</v>
      </c>
      <c r="F33" s="46">
        <v>20475</v>
      </c>
      <c r="G33" s="34">
        <f>(F33/F49)*100</f>
        <v>18.43249520620088</v>
      </c>
      <c r="H33" s="46">
        <v>25475</v>
      </c>
      <c r="I33" s="34">
        <f>(H33/H49)*100</f>
        <v>22.512968707194428</v>
      </c>
      <c r="J33" s="46">
        <v>17675</v>
      </c>
      <c r="K33" s="34">
        <f>(J33/J49)*100</f>
        <v>16.902068411540263</v>
      </c>
      <c r="L33" s="46">
        <v>14229</v>
      </c>
      <c r="M33" s="35">
        <f>(L33/L49)*100</f>
        <v>14.680120090377294</v>
      </c>
    </row>
    <row r="34" spans="1:13" ht="13.5" customHeight="1">
      <c r="A34" s="335" t="s">
        <v>171</v>
      </c>
      <c r="B34" s="46">
        <v>12300</v>
      </c>
      <c r="C34" s="34">
        <f>(B34/B49)*100</f>
        <v>11.101083032490974</v>
      </c>
      <c r="D34" s="46">
        <v>10954</v>
      </c>
      <c r="E34" s="34">
        <f>(D34/D49)*100</f>
        <v>9.80416726335386</v>
      </c>
      <c r="F34" s="46">
        <v>9670</v>
      </c>
      <c r="G34" s="34">
        <f>(F34/F49)*100</f>
        <v>8.705359152330281</v>
      </c>
      <c r="H34" s="46">
        <v>7170</v>
      </c>
      <c r="I34" s="34">
        <f>(H34/H49)*100</f>
        <v>6.33632917097484</v>
      </c>
      <c r="J34" s="46">
        <v>7734</v>
      </c>
      <c r="K34" s="34">
        <f>(J34/J49)*100</f>
        <v>7.395790500415977</v>
      </c>
      <c r="L34" s="46">
        <v>7822</v>
      </c>
      <c r="M34" s="35">
        <f>(L34/L49)*100</f>
        <v>8.069990817831977</v>
      </c>
    </row>
    <row r="35" spans="1:13" ht="13.5" customHeight="1">
      <c r="A35" s="335" t="s">
        <v>174</v>
      </c>
      <c r="B35" s="46">
        <v>5100</v>
      </c>
      <c r="C35" s="34">
        <f>(B35/B49)*100</f>
        <v>4.6028880866426</v>
      </c>
      <c r="D35" s="46">
        <v>5131</v>
      </c>
      <c r="E35" s="34">
        <f>(D35/D49)*100</f>
        <v>4.592402978662466</v>
      </c>
      <c r="F35" s="46">
        <v>4963</v>
      </c>
      <c r="G35" s="34">
        <f>(F35/F49)*100</f>
        <v>4.467910803827838</v>
      </c>
      <c r="H35" s="46">
        <v>5288</v>
      </c>
      <c r="I35" s="34">
        <f>(H35/H49)*100</f>
        <v>4.673153229583676</v>
      </c>
      <c r="J35" s="46">
        <v>5840</v>
      </c>
      <c r="K35" s="34">
        <f>(J35/J49)*100</f>
        <v>5.584615531733813</v>
      </c>
      <c r="L35" s="46">
        <v>4631</v>
      </c>
      <c r="M35" s="35">
        <f>(L35/L49)*100</f>
        <v>4.77782248496291</v>
      </c>
    </row>
    <row r="36" spans="1:13" ht="13.5" customHeight="1">
      <c r="A36" s="335" t="s">
        <v>172</v>
      </c>
      <c r="B36" s="46">
        <v>6600</v>
      </c>
      <c r="C36" s="34">
        <f>(B36/B49)*100</f>
        <v>5.956678700361011</v>
      </c>
      <c r="D36" s="46">
        <v>4548</v>
      </c>
      <c r="E36" s="34">
        <f>(D36/D49)*100</f>
        <v>4.070600028640985</v>
      </c>
      <c r="F36" s="46">
        <v>10882</v>
      </c>
      <c r="G36" s="34">
        <f>(F36/F49)*100</f>
        <v>9.79645483926144</v>
      </c>
      <c r="H36" s="46">
        <v>10940</v>
      </c>
      <c r="I36" s="34">
        <f>(H36/H49)*100</f>
        <v>9.667983421264262</v>
      </c>
      <c r="J36" s="46">
        <v>6185</v>
      </c>
      <c r="K36" s="34">
        <f>(J36/J49)*100</f>
        <v>5.914528606810554</v>
      </c>
      <c r="L36" s="46">
        <v>5489</v>
      </c>
      <c r="M36" s="35">
        <f>(L36/L49)*100</f>
        <v>5.6630247505854925</v>
      </c>
    </row>
    <row r="37" spans="1:13" ht="13.5" customHeight="1">
      <c r="A37" s="335" t="s">
        <v>176</v>
      </c>
      <c r="B37" s="37">
        <v>5000</v>
      </c>
      <c r="C37" s="34">
        <f>(B37/B49)*100</f>
        <v>4.512635379061372</v>
      </c>
      <c r="D37" s="37">
        <v>4261</v>
      </c>
      <c r="E37" s="34">
        <f>(D37/D49)*100</f>
        <v>3.8137261921810115</v>
      </c>
      <c r="F37" s="37">
        <v>4185</v>
      </c>
      <c r="G37" s="34">
        <f>(F37/F49)*100</f>
        <v>3.767520998190509</v>
      </c>
      <c r="H37" s="37">
        <v>5508</v>
      </c>
      <c r="I37" s="34">
        <f>(H37/H49)*100</f>
        <v>4.867573371510379</v>
      </c>
      <c r="J37" s="37">
        <v>3947</v>
      </c>
      <c r="K37" s="34">
        <f>(J37/J49)*100</f>
        <v>3.774396832834479</v>
      </c>
      <c r="L37" s="37">
        <v>3349</v>
      </c>
      <c r="M37" s="35">
        <f>(L37/L49)*100</f>
        <v>3.4551776078904743</v>
      </c>
    </row>
    <row r="38" spans="1:13" ht="13.5" customHeight="1">
      <c r="A38" s="335" t="s">
        <v>178</v>
      </c>
      <c r="B38" s="37">
        <v>3500</v>
      </c>
      <c r="C38" s="34">
        <f>(B38/B49)*100</f>
        <v>3.15884476534296</v>
      </c>
      <c r="D38" s="37">
        <v>3442</v>
      </c>
      <c r="E38" s="34">
        <f>(D38/D49)*100</f>
        <v>3.0806959759415724</v>
      </c>
      <c r="F38" s="37">
        <v>3672</v>
      </c>
      <c r="G38" s="34">
        <f>(F38/F49)*100</f>
        <v>3.3056958435736084</v>
      </c>
      <c r="H38" s="37">
        <v>2685</v>
      </c>
      <c r="I38" s="34">
        <f>(H38/H49)*100</f>
        <v>2.3728094594236326</v>
      </c>
      <c r="J38" s="37">
        <v>3142</v>
      </c>
      <c r="K38" s="34">
        <f>(J38/J49)*100</f>
        <v>3.004599657655418</v>
      </c>
      <c r="L38" s="37">
        <v>2657</v>
      </c>
      <c r="M38" s="35">
        <f>(L38/L49)*100</f>
        <v>2.7412382514675993</v>
      </c>
    </row>
    <row r="39" spans="1:13" ht="13.5" customHeight="1">
      <c r="A39" s="335" t="s">
        <v>173</v>
      </c>
      <c r="B39" s="46">
        <v>2900</v>
      </c>
      <c r="C39" s="34">
        <f>(B39/B49)*100</f>
        <v>2.6173285198555956</v>
      </c>
      <c r="D39" s="46">
        <v>3137</v>
      </c>
      <c r="E39" s="34">
        <f>(D39/D49)*100</f>
        <v>2.8077115852785335</v>
      </c>
      <c r="F39" s="46">
        <v>2870</v>
      </c>
      <c r="G39" s="34">
        <f>(F39/F49)*100</f>
        <v>2.583700182749525</v>
      </c>
      <c r="H39" s="46">
        <v>3203</v>
      </c>
      <c r="I39" s="34">
        <f>(H39/H49)*100</f>
        <v>2.8305805208692347</v>
      </c>
      <c r="J39" s="46">
        <v>2675</v>
      </c>
      <c r="K39" s="34">
        <f>(J39/J49)*100</f>
        <v>2.558021669073279</v>
      </c>
      <c r="L39" s="46">
        <v>3324</v>
      </c>
      <c r="M39" s="35">
        <f>(L39/L49)*100</f>
        <v>3.42938500108329</v>
      </c>
    </row>
    <row r="40" spans="1:13" ht="13.5" customHeight="1">
      <c r="A40" s="335" t="s">
        <v>179</v>
      </c>
      <c r="B40" s="46">
        <v>2900</v>
      </c>
      <c r="C40" s="34">
        <f>(B40/B49)*100</f>
        <v>2.6173285198555956</v>
      </c>
      <c r="D40" s="46">
        <v>3045</v>
      </c>
      <c r="E40" s="34">
        <f>(D40/D49)*100</f>
        <v>2.7253687526850925</v>
      </c>
      <c r="F40" s="46">
        <v>2575</v>
      </c>
      <c r="G40" s="34">
        <f>(F40/F49)*100</f>
        <v>2.3181282127456537</v>
      </c>
      <c r="H40" s="46">
        <v>3750</v>
      </c>
      <c r="I40" s="34">
        <f>(H40/H49)*100</f>
        <v>3.3139796919324476</v>
      </c>
      <c r="J40" s="46">
        <v>3697</v>
      </c>
      <c r="K40" s="34">
        <f>(J40/J49)*100</f>
        <v>3.5353293871266964</v>
      </c>
      <c r="L40" s="46">
        <v>3468</v>
      </c>
      <c r="M40" s="35">
        <f>(L40/L49)*100</f>
        <v>3.5779504162926736</v>
      </c>
    </row>
    <row r="41" spans="1:13" ht="13.5" customHeight="1">
      <c r="A41" s="336" t="s">
        <v>175</v>
      </c>
      <c r="B41" s="46">
        <v>2400</v>
      </c>
      <c r="C41" s="34">
        <f>(B41/B49)*100</f>
        <v>2.166064981949458</v>
      </c>
      <c r="D41" s="46">
        <v>2891</v>
      </c>
      <c r="E41" s="34">
        <f>(D41/D49)*100</f>
        <v>2.5875340111699843</v>
      </c>
      <c r="F41" s="46">
        <v>3971</v>
      </c>
      <c r="G41" s="34">
        <f>(F41/F49)*100</f>
        <v>3.574868789441939</v>
      </c>
      <c r="H41" s="46">
        <v>4310</v>
      </c>
      <c r="I41" s="34">
        <f>(H41/H49)*100</f>
        <v>3.8088673259276935</v>
      </c>
      <c r="J41" s="46">
        <v>4697</v>
      </c>
      <c r="K41" s="34">
        <f>(J41/J49)*100</f>
        <v>4.491599169957829</v>
      </c>
      <c r="L41" s="46">
        <v>3817</v>
      </c>
      <c r="M41" s="35">
        <f>(L41/L49)*100</f>
        <v>3.9380152073209738</v>
      </c>
    </row>
    <row r="42" spans="1:13" ht="13.5" customHeight="1">
      <c r="A42" s="336" t="s">
        <v>177</v>
      </c>
      <c r="B42" s="46">
        <v>2500</v>
      </c>
      <c r="C42" s="34">
        <f>(B42/B49)*100</f>
        <v>2.256317689530686</v>
      </c>
      <c r="D42" s="46">
        <v>2448</v>
      </c>
      <c r="E42" s="34">
        <f>(D42/D49)*100</f>
        <v>2.191035371616784</v>
      </c>
      <c r="F42" s="46">
        <v>3132</v>
      </c>
      <c r="G42" s="34">
        <f>(F42/F49)*100</f>
        <v>2.819564101871607</v>
      </c>
      <c r="H42" s="46">
        <v>3556</v>
      </c>
      <c r="I42" s="34">
        <f>(H42/H49)*100</f>
        <v>3.1425364758698096</v>
      </c>
      <c r="J42" s="46">
        <v>2907</v>
      </c>
      <c r="K42" s="34">
        <f>(J42/J49)*100</f>
        <v>2.7798762586901016</v>
      </c>
      <c r="L42" s="46">
        <v>2498</v>
      </c>
      <c r="M42" s="35">
        <f>(L42/L49)*100</f>
        <v>2.5771972721739043</v>
      </c>
    </row>
    <row r="43" spans="1:13" ht="13.5" customHeight="1">
      <c r="A43" s="335" t="s">
        <v>181</v>
      </c>
      <c r="B43" s="46">
        <v>1900</v>
      </c>
      <c r="C43" s="34">
        <f>(B43/B49)*100</f>
        <v>1.7148014440433215</v>
      </c>
      <c r="D43" s="46">
        <v>1900</v>
      </c>
      <c r="E43" s="34">
        <f>(D43/D49)*100</f>
        <v>1.7005584992123728</v>
      </c>
      <c r="F43" s="46">
        <v>1661</v>
      </c>
      <c r="G43" s="34">
        <f>(F43/F49)*100</f>
        <v>1.4953052277167111</v>
      </c>
      <c r="H43" s="46">
        <v>1987</v>
      </c>
      <c r="I43" s="34">
        <f>(H43/H49)*100</f>
        <v>1.7559673727652731</v>
      </c>
      <c r="J43" s="46">
        <v>1468</v>
      </c>
      <c r="K43" s="34">
        <f>(J43/J49)*100</f>
        <v>1.4038040411961021</v>
      </c>
      <c r="L43" s="46">
        <v>1712</v>
      </c>
      <c r="M43" s="35">
        <f>(L43/L49)*100</f>
        <v>1.7662777141560144</v>
      </c>
    </row>
    <row r="44" spans="1:13" ht="13.5" customHeight="1">
      <c r="A44" s="336" t="s">
        <v>180</v>
      </c>
      <c r="B44" s="46">
        <v>1400</v>
      </c>
      <c r="C44" s="34">
        <f>(B44/B49)*100</f>
        <v>1.263537906137184</v>
      </c>
      <c r="D44" s="46">
        <v>1567</v>
      </c>
      <c r="E44" s="34">
        <f>(D44/D49)*100</f>
        <v>1.4025132464556782</v>
      </c>
      <c r="F44" s="46">
        <v>1942</v>
      </c>
      <c r="G44" s="34">
        <f>(F44/F49)*100</f>
        <v>1.748273782194975</v>
      </c>
      <c r="H44" s="46">
        <v>1712</v>
      </c>
      <c r="I44" s="34">
        <f>(H44/H49)*100</f>
        <v>1.5129421953568933</v>
      </c>
      <c r="J44" s="46">
        <v>772</v>
      </c>
      <c r="K44" s="34">
        <f>(J44/J49)*100</f>
        <v>0.7382402723456342</v>
      </c>
      <c r="L44" s="46">
        <v>1912</v>
      </c>
      <c r="M44" s="35">
        <f>(L44/L49)*100</f>
        <v>1.9726185686134927</v>
      </c>
    </row>
    <row r="45" spans="1:13" ht="13.5" customHeight="1">
      <c r="A45" s="336" t="s">
        <v>182</v>
      </c>
      <c r="B45" s="37">
        <v>1100</v>
      </c>
      <c r="C45" s="34">
        <f>(B45/B49)*100</f>
        <v>0.9927797833935018</v>
      </c>
      <c r="D45" s="37">
        <v>1212</v>
      </c>
      <c r="E45" s="34">
        <f>(D45/D49)*100</f>
        <v>1.084777316339682</v>
      </c>
      <c r="F45" s="37">
        <v>1344</v>
      </c>
      <c r="G45" s="34">
        <f>(F45/F49)*100</f>
        <v>1.2099278904583142</v>
      </c>
      <c r="H45" s="37">
        <v>1374</v>
      </c>
      <c r="I45" s="34">
        <f>(H45/H49)*100</f>
        <v>1.2142421591240489</v>
      </c>
      <c r="J45" s="37">
        <v>1243</v>
      </c>
      <c r="K45" s="34">
        <f>(J45/J49)*100</f>
        <v>1.1886433400590974</v>
      </c>
      <c r="L45" s="37">
        <v>1200</v>
      </c>
      <c r="M45" s="35">
        <f>(L45/L49)*100</f>
        <v>1.23804512674487</v>
      </c>
    </row>
    <row r="46" spans="1:13" ht="13.5" customHeight="1">
      <c r="A46" s="336" t="s">
        <v>183</v>
      </c>
      <c r="B46" s="46">
        <v>430</v>
      </c>
      <c r="C46" s="34">
        <f>(B46/B49)*100</f>
        <v>0.388086642599278</v>
      </c>
      <c r="D46" s="46">
        <v>430</v>
      </c>
      <c r="E46" s="34">
        <f>(D46/D49)*100</f>
        <v>0.38486323929543176</v>
      </c>
      <c r="F46" s="46">
        <v>1103</v>
      </c>
      <c r="G46" s="34">
        <f>(F46/F49)*100</f>
        <v>0.9929690946246433</v>
      </c>
      <c r="H46" s="46">
        <v>1044</v>
      </c>
      <c r="I46" s="34">
        <f>(H46/H49)*100</f>
        <v>0.9226119462339935</v>
      </c>
      <c r="J46" s="46">
        <v>1826</v>
      </c>
      <c r="K46" s="34">
        <f>(J46/J49)*100</f>
        <v>1.7461486234496477</v>
      </c>
      <c r="L46" s="46">
        <v>1082</v>
      </c>
      <c r="M46" s="35">
        <f>(L46/L49)*100</f>
        <v>1.1163040226149576</v>
      </c>
    </row>
    <row r="47" spans="1:13" ht="17.25" customHeight="1" hidden="1">
      <c r="A47" s="335"/>
      <c r="B47" s="46">
        <f>SUM(B32:B46)</f>
        <v>105330</v>
      </c>
      <c r="C47" s="335"/>
      <c r="D47" s="46">
        <f>SUM(D32:D46)</f>
        <v>106701</v>
      </c>
      <c r="E47" s="335"/>
      <c r="F47" s="46">
        <f>SUM(F32:F46)</f>
        <v>104455</v>
      </c>
      <c r="G47" s="335"/>
      <c r="H47" s="46">
        <f>SUM(H32:H46)</f>
        <v>106737</v>
      </c>
      <c r="I47" s="335"/>
      <c r="J47" s="46">
        <f>SUM(J32:J46)</f>
        <v>97418</v>
      </c>
      <c r="K47" s="335"/>
      <c r="L47" s="46">
        <f>SUM(L32:L46)</f>
        <v>90684</v>
      </c>
      <c r="M47" s="336"/>
    </row>
    <row r="48" spans="1:13" ht="15">
      <c r="A48" s="343" t="s">
        <v>184</v>
      </c>
      <c r="B48" s="38">
        <f>B49-B47</f>
        <v>5470</v>
      </c>
      <c r="C48" s="39">
        <f>(B48/B49)*100</f>
        <v>4.936823104693141</v>
      </c>
      <c r="D48" s="38">
        <f>D49-D47</f>
        <v>5027</v>
      </c>
      <c r="E48" s="39">
        <f>(D48/D49)*100</f>
        <v>4.499319776600315</v>
      </c>
      <c r="F48" s="38">
        <f>F49-F47</f>
        <v>6626</v>
      </c>
      <c r="G48" s="39">
        <f>(F48/F49)*100</f>
        <v>5.965016519476778</v>
      </c>
      <c r="H48" s="38">
        <f>H49-H47</f>
        <v>6420</v>
      </c>
      <c r="I48" s="39">
        <f>(H48/H49)*100</f>
        <v>5.67353323258835</v>
      </c>
      <c r="J48" s="38">
        <f>J49-J47</f>
        <v>7155</v>
      </c>
      <c r="K48" s="39">
        <f>(J48/J49)*100</f>
        <v>6.8421102961567515</v>
      </c>
      <c r="L48" s="38">
        <f>L49-L47</f>
        <v>6243</v>
      </c>
      <c r="M48" s="40">
        <f>(L48/L49)*100</f>
        <v>6.440929771890186</v>
      </c>
    </row>
    <row r="49" spans="1:13" ht="18" customHeight="1">
      <c r="A49" s="344" t="s">
        <v>115</v>
      </c>
      <c r="B49" s="338">
        <v>110800</v>
      </c>
      <c r="C49" s="339">
        <f>SUM(C32:C48)</f>
        <v>99.99999999999999</v>
      </c>
      <c r="D49" s="338">
        <v>111728</v>
      </c>
      <c r="E49" s="339">
        <f>SUM(E32:E48)</f>
        <v>99.99999999999999</v>
      </c>
      <c r="F49" s="338">
        <v>111081</v>
      </c>
      <c r="G49" s="339">
        <f>SUM(G32:G48)</f>
        <v>99.99999999999999</v>
      </c>
      <c r="H49" s="338">
        <v>113157</v>
      </c>
      <c r="I49" s="339">
        <f>SUM(I32:I48)</f>
        <v>100</v>
      </c>
      <c r="J49" s="338">
        <v>104573</v>
      </c>
      <c r="K49" s="339">
        <f>SUM(K32:K48)</f>
        <v>99.99999999999999</v>
      </c>
      <c r="L49" s="338">
        <v>96927</v>
      </c>
      <c r="M49" s="340">
        <f>SUM(M32:M48)</f>
        <v>100</v>
      </c>
    </row>
    <row r="50" spans="1:13" ht="15" customHeight="1">
      <c r="A50" s="345" t="s">
        <v>188</v>
      </c>
      <c r="B50" s="345"/>
      <c r="C50" s="345"/>
      <c r="D50" s="47"/>
      <c r="E50" s="47"/>
      <c r="F50" s="48"/>
      <c r="G50" s="48"/>
      <c r="H50" s="48"/>
      <c r="I50" s="48"/>
      <c r="J50" s="346"/>
      <c r="K50" s="347"/>
      <c r="L50" s="346"/>
      <c r="M50" s="347"/>
    </row>
    <row r="51" spans="1:13" ht="9" customHeight="1">
      <c r="A51" s="42"/>
      <c r="B51" s="42"/>
      <c r="C51" s="42"/>
      <c r="D51" s="47"/>
      <c r="E51" s="47"/>
      <c r="F51" s="48"/>
      <c r="G51" s="48"/>
      <c r="H51" s="48"/>
      <c r="I51" s="48"/>
      <c r="J51" s="346"/>
      <c r="K51" s="347"/>
      <c r="L51" s="346"/>
      <c r="M51" s="347"/>
    </row>
    <row r="52" spans="1:13" ht="15" customHeight="1">
      <c r="A52" s="1570" t="s">
        <v>189</v>
      </c>
      <c r="B52" s="1570"/>
      <c r="C52" s="1570"/>
      <c r="D52" s="1571"/>
      <c r="E52" s="1571"/>
      <c r="F52" s="1571"/>
      <c r="G52" s="1571"/>
      <c r="H52" s="1571"/>
      <c r="I52" s="1571"/>
      <c r="J52" s="1571"/>
      <c r="K52" s="1571"/>
      <c r="L52" s="1571"/>
      <c r="M52" s="1572"/>
    </row>
    <row r="53" spans="1:13" ht="15" customHeight="1">
      <c r="A53" s="1573" t="s">
        <v>163</v>
      </c>
      <c r="B53" s="1574" t="s">
        <v>445</v>
      </c>
      <c r="C53" s="1574"/>
      <c r="D53" s="1574" t="s">
        <v>164</v>
      </c>
      <c r="E53" s="1574"/>
      <c r="F53" s="1574" t="s">
        <v>165</v>
      </c>
      <c r="G53" s="1574"/>
      <c r="H53" s="1568" t="s">
        <v>166</v>
      </c>
      <c r="I53" s="1575"/>
      <c r="J53" s="1568" t="s">
        <v>31</v>
      </c>
      <c r="K53" s="1575"/>
      <c r="L53" s="1568" t="s">
        <v>167</v>
      </c>
      <c r="M53" s="1569"/>
    </row>
    <row r="54" spans="1:13" ht="15" customHeight="1">
      <c r="A54" s="1573"/>
      <c r="B54" s="30" t="s">
        <v>17</v>
      </c>
      <c r="C54" s="30" t="s">
        <v>168</v>
      </c>
      <c r="D54" s="30" t="s">
        <v>17</v>
      </c>
      <c r="E54" s="30" t="s">
        <v>168</v>
      </c>
      <c r="F54" s="30" t="s">
        <v>17</v>
      </c>
      <c r="G54" s="30" t="s">
        <v>168</v>
      </c>
      <c r="H54" s="30" t="s">
        <v>17</v>
      </c>
      <c r="I54" s="30" t="s">
        <v>168</v>
      </c>
      <c r="J54" s="30" t="s">
        <v>17</v>
      </c>
      <c r="K54" s="30" t="s">
        <v>168</v>
      </c>
      <c r="L54" s="30" t="s">
        <v>17</v>
      </c>
      <c r="M54" s="43" t="s">
        <v>168</v>
      </c>
    </row>
    <row r="55" spans="1:13" ht="13.5" customHeight="1">
      <c r="A55" s="342" t="s">
        <v>169</v>
      </c>
      <c r="B55" s="33">
        <v>21000</v>
      </c>
      <c r="C55" s="44">
        <f>(B55/B72)*100</f>
        <v>43.75</v>
      </c>
      <c r="D55" s="33">
        <v>20333</v>
      </c>
      <c r="E55" s="44">
        <f>(D55/D72)*100</f>
        <v>44.00986991623558</v>
      </c>
      <c r="F55" s="33">
        <v>20085</v>
      </c>
      <c r="G55" s="44">
        <f>(F55/F72)*100</f>
        <v>44.641269559032715</v>
      </c>
      <c r="H55" s="33">
        <v>20330</v>
      </c>
      <c r="I55" s="44">
        <f>(H55/H72)*100</f>
        <v>45.97259282709963</v>
      </c>
      <c r="J55" s="33">
        <v>19720</v>
      </c>
      <c r="K55" s="44">
        <f>(J55/J72)*100</f>
        <v>46.08122634014114</v>
      </c>
      <c r="L55" s="33">
        <v>19131.83</v>
      </c>
      <c r="M55" s="45">
        <f>(L55/L72)*100</f>
        <v>46.657310084136085</v>
      </c>
    </row>
    <row r="56" spans="1:13" ht="13.5" customHeight="1">
      <c r="A56" s="335" t="s">
        <v>172</v>
      </c>
      <c r="B56" s="46">
        <v>4200</v>
      </c>
      <c r="C56" s="34">
        <f>(B56/B72)*100</f>
        <v>8.75</v>
      </c>
      <c r="D56" s="46">
        <v>3584</v>
      </c>
      <c r="E56" s="34">
        <f>(D56/D72)*100</f>
        <v>7.757407848314972</v>
      </c>
      <c r="F56" s="46">
        <v>3584</v>
      </c>
      <c r="G56" s="34">
        <f>(F56/F72)*100</f>
        <v>7.965860597439544</v>
      </c>
      <c r="H56" s="46">
        <v>3584</v>
      </c>
      <c r="I56" s="34">
        <f>(H56/H72)*100</f>
        <v>8.104563339514268</v>
      </c>
      <c r="J56" s="46">
        <v>3333</v>
      </c>
      <c r="K56" s="34">
        <f>(J56/J72)*100</f>
        <v>7.788475019862598</v>
      </c>
      <c r="L56" s="46">
        <v>3333</v>
      </c>
      <c r="M56" s="35">
        <f>(L56/L72)*100</f>
        <v>8.128277039385441</v>
      </c>
    </row>
    <row r="57" spans="1:13" ht="13.5" customHeight="1">
      <c r="A57" s="335" t="s">
        <v>173</v>
      </c>
      <c r="B57" s="46">
        <v>3700</v>
      </c>
      <c r="C57" s="34">
        <f>(B57/B72)*100</f>
        <v>7.708333333333334</v>
      </c>
      <c r="D57" s="46">
        <v>3383</v>
      </c>
      <c r="E57" s="34">
        <f>(D57/D72)*100</f>
        <v>7.322352330036147</v>
      </c>
      <c r="F57" s="46">
        <v>3383</v>
      </c>
      <c r="G57" s="34">
        <f>(F57/F72)*100</f>
        <v>7.519114509246089</v>
      </c>
      <c r="H57" s="46">
        <v>3383</v>
      </c>
      <c r="I57" s="34">
        <f>(H57/H72)*100</f>
        <v>7.650038442404234</v>
      </c>
      <c r="J57" s="46">
        <v>3383</v>
      </c>
      <c r="K57" s="34">
        <f>(J57/J72)*100</f>
        <v>7.905313829041455</v>
      </c>
      <c r="L57" s="46">
        <v>3253</v>
      </c>
      <c r="M57" s="35">
        <f>(L57/L72)*100</f>
        <v>7.933178880624315</v>
      </c>
    </row>
    <row r="58" spans="1:13" ht="13.5" customHeight="1">
      <c r="A58" s="335" t="s">
        <v>177</v>
      </c>
      <c r="B58" s="46">
        <v>2400</v>
      </c>
      <c r="C58" s="34">
        <f>(B58/B72)*100</f>
        <v>5</v>
      </c>
      <c r="D58" s="46">
        <v>2354</v>
      </c>
      <c r="E58" s="34">
        <f>(D58/D72)*100</f>
        <v>5.09512781108634</v>
      </c>
      <c r="F58" s="46">
        <v>2354</v>
      </c>
      <c r="G58" s="34">
        <f>(F58/F72)*100</f>
        <v>5.232041251778094</v>
      </c>
      <c r="H58" s="46">
        <v>2354</v>
      </c>
      <c r="I58" s="34">
        <f>(H58/H72)*100</f>
        <v>5.3231423273483784</v>
      </c>
      <c r="J58" s="46">
        <v>2354</v>
      </c>
      <c r="K58" s="34">
        <f>(J58/J72)*100</f>
        <v>5.50077113614058</v>
      </c>
      <c r="L58" s="46">
        <v>2239</v>
      </c>
      <c r="M58" s="35">
        <f>(L58/L72)*100</f>
        <v>5.460309718327033</v>
      </c>
    </row>
    <row r="59" spans="1:13" ht="13.5" customHeight="1">
      <c r="A59" s="335" t="s">
        <v>174</v>
      </c>
      <c r="B59" s="46">
        <v>2300</v>
      </c>
      <c r="C59" s="34">
        <f>(B59/B72)*100</f>
        <v>4.791666666666667</v>
      </c>
      <c r="D59" s="46">
        <v>1917</v>
      </c>
      <c r="E59" s="34">
        <f>(D59/D72)*100</f>
        <v>4.149260838509989</v>
      </c>
      <c r="F59" s="46">
        <v>1917</v>
      </c>
      <c r="G59" s="34">
        <f>(F59/F72)*100</f>
        <v>4.260757467994311</v>
      </c>
      <c r="H59" s="46">
        <v>1917</v>
      </c>
      <c r="I59" s="34">
        <f>(H59/H72)*100</f>
        <v>4.334946406765863</v>
      </c>
      <c r="J59" s="46">
        <v>1829</v>
      </c>
      <c r="K59" s="34">
        <f>(J59/J72)*100</f>
        <v>4.2739636397625835</v>
      </c>
      <c r="L59" s="46">
        <v>1725</v>
      </c>
      <c r="M59" s="35">
        <f>(L59/L72)*100</f>
        <v>4.206804048286794</v>
      </c>
    </row>
    <row r="60" spans="1:13" ht="13.5" customHeight="1">
      <c r="A60" s="335" t="s">
        <v>170</v>
      </c>
      <c r="B60" s="46">
        <v>2300</v>
      </c>
      <c r="C60" s="34">
        <f>(B60/B72)*100</f>
        <v>4.791666666666667</v>
      </c>
      <c r="D60" s="46">
        <v>1583</v>
      </c>
      <c r="E60" s="34">
        <f>(D60/D72)*100</f>
        <v>3.4263327633601</v>
      </c>
      <c r="F60" s="46">
        <v>1583</v>
      </c>
      <c r="G60" s="34">
        <f>(F60/F72)*100</f>
        <v>3.5184032716927454</v>
      </c>
      <c r="H60" s="46">
        <v>1583</v>
      </c>
      <c r="I60" s="34">
        <f>(H60/H72)*100</f>
        <v>3.5796662294785406</v>
      </c>
      <c r="J60" s="46">
        <v>1583</v>
      </c>
      <c r="K60" s="34">
        <f>(J60/J72)*100</f>
        <v>3.699116698602608</v>
      </c>
      <c r="L60" s="46">
        <v>1302</v>
      </c>
      <c r="M60" s="35">
        <f>(L60/L72)*100</f>
        <v>3.1752225338373368</v>
      </c>
    </row>
    <row r="61" spans="1:13" ht="13.5" customHeight="1">
      <c r="A61" s="335" t="s">
        <v>171</v>
      </c>
      <c r="B61" s="46">
        <v>1600</v>
      </c>
      <c r="C61" s="34">
        <f>(B61/B72)*100</f>
        <v>3.3333333333333335</v>
      </c>
      <c r="D61" s="46">
        <v>1439</v>
      </c>
      <c r="E61" s="34">
        <f>(D61/D72)*100</f>
        <v>3.1146511980260168</v>
      </c>
      <c r="F61" s="46">
        <v>1439</v>
      </c>
      <c r="G61" s="34">
        <f>(F61/F72)*100</f>
        <v>3.1983463726884778</v>
      </c>
      <c r="H61" s="46">
        <v>1439</v>
      </c>
      <c r="I61" s="34">
        <f>(H61/H72)*100</f>
        <v>3.2540364524444843</v>
      </c>
      <c r="J61" s="46">
        <v>1439</v>
      </c>
      <c r="K61" s="34">
        <f>(J61/J72)*100</f>
        <v>3.3626209281675</v>
      </c>
      <c r="L61" s="46">
        <v>1308</v>
      </c>
      <c r="M61" s="35">
        <f>(L61/L72)*100</f>
        <v>3.1898548957444213</v>
      </c>
    </row>
    <row r="62" spans="1:13" ht="13.5" customHeight="1">
      <c r="A62" s="335" t="s">
        <v>176</v>
      </c>
      <c r="B62" s="37">
        <v>300</v>
      </c>
      <c r="C62" s="34">
        <f>(B62/B72)*100</f>
        <v>0.625</v>
      </c>
      <c r="D62" s="37">
        <v>345</v>
      </c>
      <c r="E62" s="34">
        <f>(D62/D72)*100</f>
        <v>0.7467370836129088</v>
      </c>
      <c r="F62" s="37">
        <v>345</v>
      </c>
      <c r="G62" s="34">
        <f>(F62/F72)*100</f>
        <v>0.766802987197724</v>
      </c>
      <c r="H62" s="37">
        <v>345</v>
      </c>
      <c r="I62" s="34">
        <f>(H62/H72)*100</f>
        <v>0.7801546741440911</v>
      </c>
      <c r="J62" s="37">
        <v>345</v>
      </c>
      <c r="K62" s="34">
        <f>(J62/J72)*100</f>
        <v>0.8061877833341122</v>
      </c>
      <c r="L62" s="37">
        <v>345</v>
      </c>
      <c r="M62" s="35">
        <f>(L62/L72)*100</f>
        <v>0.8413608096573589</v>
      </c>
    </row>
    <row r="63" spans="1:13" ht="13.5" customHeight="1">
      <c r="A63" s="335" t="s">
        <v>179</v>
      </c>
      <c r="B63" s="46">
        <v>300</v>
      </c>
      <c r="C63" s="34">
        <f>(B63/B72)*100</f>
        <v>0.625</v>
      </c>
      <c r="D63" s="46">
        <v>340</v>
      </c>
      <c r="E63" s="34">
        <f>(D63/D72)*100</f>
        <v>0.7359148070388087</v>
      </c>
      <c r="F63" s="46">
        <v>340</v>
      </c>
      <c r="G63" s="34">
        <f>(F63/F72)*100</f>
        <v>0.7556899004267426</v>
      </c>
      <c r="H63" s="46">
        <v>340</v>
      </c>
      <c r="I63" s="34">
        <f>(H63/H72)*100</f>
        <v>0.768848084663742</v>
      </c>
      <c r="J63" s="46">
        <v>340</v>
      </c>
      <c r="K63" s="34">
        <f>(J63/J72)*100</f>
        <v>0.7945039024162265</v>
      </c>
      <c r="L63" s="46">
        <v>340</v>
      </c>
      <c r="M63" s="35">
        <f>(L63/L72)*100</f>
        <v>0.8291671747347884</v>
      </c>
    </row>
    <row r="64" spans="1:13" ht="13.5" customHeight="1">
      <c r="A64" s="336" t="s">
        <v>180</v>
      </c>
      <c r="B64" s="46">
        <v>300</v>
      </c>
      <c r="C64" s="34">
        <f>(B64/B72)*100</f>
        <v>0.625</v>
      </c>
      <c r="D64" s="46">
        <v>317</v>
      </c>
      <c r="E64" s="34">
        <f>(D64/D72)*100</f>
        <v>0.6861323347979481</v>
      </c>
      <c r="F64" s="46">
        <v>317</v>
      </c>
      <c r="G64" s="34">
        <f>(F64/F72)*100</f>
        <v>0.7045697012802276</v>
      </c>
      <c r="H64" s="46">
        <v>317</v>
      </c>
      <c r="I64" s="34">
        <f>(H64/H72)*100</f>
        <v>0.7168377730541359</v>
      </c>
      <c r="J64" s="46">
        <v>317</v>
      </c>
      <c r="K64" s="34">
        <f>(J64/J72)*100</f>
        <v>0.7407580501939525</v>
      </c>
      <c r="L64" s="46">
        <v>317</v>
      </c>
      <c r="M64" s="35">
        <f>(L64/L72)*100</f>
        <v>0.7730764540909646</v>
      </c>
    </row>
    <row r="65" spans="1:13" ht="13.5" customHeight="1">
      <c r="A65" s="336" t="s">
        <v>183</v>
      </c>
      <c r="B65" s="46">
        <v>275</v>
      </c>
      <c r="C65" s="34">
        <f>(B65/B72)*100</f>
        <v>0.5729166666666666</v>
      </c>
      <c r="D65" s="46">
        <v>275</v>
      </c>
      <c r="E65" s="34">
        <f>(D65/D72)*100</f>
        <v>0.595225211575507</v>
      </c>
      <c r="F65" s="46">
        <v>275</v>
      </c>
      <c r="G65" s="34">
        <f>(F65/F72)*100</f>
        <v>0.611219772403983</v>
      </c>
      <c r="H65" s="46">
        <v>275</v>
      </c>
      <c r="I65" s="34">
        <f>(H65/H72)*100</f>
        <v>0.6218624214192031</v>
      </c>
      <c r="J65" s="46">
        <v>271</v>
      </c>
      <c r="K65" s="34">
        <f>(J65/J72)*100</f>
        <v>0.6332663457494041</v>
      </c>
      <c r="L65" s="46">
        <v>275</v>
      </c>
      <c r="M65" s="35">
        <f>(L65/L72)*100</f>
        <v>0.670649920741373</v>
      </c>
    </row>
    <row r="66" spans="1:13" ht="13.5" customHeight="1">
      <c r="A66" s="336" t="s">
        <v>182</v>
      </c>
      <c r="B66" s="46">
        <v>200</v>
      </c>
      <c r="C66" s="34">
        <f>(B66/B72)*100</f>
        <v>0.4166666666666667</v>
      </c>
      <c r="D66" s="46">
        <v>251</v>
      </c>
      <c r="E66" s="34">
        <f>(D66/D72)*100</f>
        <v>0.5432782840198264</v>
      </c>
      <c r="F66" s="46">
        <v>251</v>
      </c>
      <c r="G66" s="34">
        <f>(F66/F72)*100</f>
        <v>0.5578769559032717</v>
      </c>
      <c r="H66" s="46">
        <v>251</v>
      </c>
      <c r="I66" s="34">
        <f>(H66/H72)*100</f>
        <v>0.5675907919135272</v>
      </c>
      <c r="J66" s="46">
        <v>270</v>
      </c>
      <c r="K66" s="34">
        <f>(J66/J72)*100</f>
        <v>0.630929569565827</v>
      </c>
      <c r="L66" s="46">
        <v>282</v>
      </c>
      <c r="M66" s="35">
        <f>(L66/L72)*100</f>
        <v>0.6877210096329716</v>
      </c>
    </row>
    <row r="67" spans="1:13" ht="13.5" customHeight="1">
      <c r="A67" s="336" t="s">
        <v>175</v>
      </c>
      <c r="B67" s="46">
        <v>300</v>
      </c>
      <c r="C67" s="34">
        <f>(B67/B72)*100</f>
        <v>0.625</v>
      </c>
      <c r="D67" s="46">
        <v>250</v>
      </c>
      <c r="E67" s="34">
        <f>(D67/D72)*100</f>
        <v>0.5411138287050064</v>
      </c>
      <c r="F67" s="46">
        <v>250</v>
      </c>
      <c r="G67" s="34">
        <f>(F67/F72)*100</f>
        <v>0.5556543385490753</v>
      </c>
      <c r="H67" s="46">
        <v>250</v>
      </c>
      <c r="I67" s="34">
        <f>(H67/H72)*100</f>
        <v>0.5653294740174574</v>
      </c>
      <c r="J67" s="46">
        <v>250</v>
      </c>
      <c r="K67" s="34">
        <f>(J67/J72)*100</f>
        <v>0.5841940458942843</v>
      </c>
      <c r="L67" s="46">
        <v>250</v>
      </c>
      <c r="M67" s="35">
        <f>(L67/L72)*100</f>
        <v>0.6096817461285209</v>
      </c>
    </row>
    <row r="68" spans="1:13" ht="13.5" customHeight="1">
      <c r="A68" s="335" t="s">
        <v>181</v>
      </c>
      <c r="B68" s="46">
        <v>204</v>
      </c>
      <c r="C68" s="34">
        <f>(B68/B72)*100</f>
        <v>0.42500000000000004</v>
      </c>
      <c r="D68" s="46">
        <v>204</v>
      </c>
      <c r="E68" s="34">
        <f>(D68/D72)*100</f>
        <v>0.44154888422328525</v>
      </c>
      <c r="F68" s="46">
        <v>204</v>
      </c>
      <c r="G68" s="34">
        <f>(F68/F72)*100</f>
        <v>0.4534139402560455</v>
      </c>
      <c r="H68" s="46">
        <v>204</v>
      </c>
      <c r="I68" s="34">
        <f>(H68/H72)*100</f>
        <v>0.46130885079824524</v>
      </c>
      <c r="J68" s="46">
        <v>202</v>
      </c>
      <c r="K68" s="34">
        <f>(J68/J72)*100</f>
        <v>0.47202878908258167</v>
      </c>
      <c r="L68" s="46">
        <v>199</v>
      </c>
      <c r="M68" s="35">
        <f>(L68/L72)*100</f>
        <v>0.4853066699183026</v>
      </c>
    </row>
    <row r="69" spans="1:13" ht="13.5" customHeight="1">
      <c r="A69" s="336" t="s">
        <v>178</v>
      </c>
      <c r="B69" s="46">
        <v>200</v>
      </c>
      <c r="C69" s="34">
        <f>(B69/B72)*100</f>
        <v>0.4166666666666667</v>
      </c>
      <c r="D69" s="46">
        <v>140</v>
      </c>
      <c r="E69" s="34">
        <f>(D69/D72)*100</f>
        <v>0.30302374407480354</v>
      </c>
      <c r="F69" s="46">
        <v>140</v>
      </c>
      <c r="G69" s="34">
        <f>(F69/F72)*100</f>
        <v>0.3111664295874822</v>
      </c>
      <c r="H69" s="46">
        <v>140</v>
      </c>
      <c r="I69" s="34">
        <f>(H69/H72)*100</f>
        <v>0.3165845054497761</v>
      </c>
      <c r="J69" s="46">
        <v>140</v>
      </c>
      <c r="K69" s="34">
        <f>(J69/J72)*100</f>
        <v>0.3271486657007992</v>
      </c>
      <c r="L69" s="46">
        <v>140</v>
      </c>
      <c r="M69" s="35">
        <f>(L69/L72)*100</f>
        <v>0.3414217778319717</v>
      </c>
    </row>
    <row r="70" spans="1:13" ht="15" customHeight="1" hidden="1">
      <c r="A70" s="335"/>
      <c r="B70" s="46">
        <f>SUM(B55:B69)</f>
        <v>39579</v>
      </c>
      <c r="C70" s="34"/>
      <c r="D70" s="46">
        <f>SUM(D55:D69)</f>
        <v>36715</v>
      </c>
      <c r="E70" s="34"/>
      <c r="F70" s="46">
        <f>SUM(F55:F69)</f>
        <v>36467</v>
      </c>
      <c r="G70" s="34"/>
      <c r="H70" s="46">
        <f>SUM(H55:H69)</f>
        <v>36712</v>
      </c>
      <c r="I70" s="34"/>
      <c r="J70" s="46">
        <f>SUM(J55:J69)</f>
        <v>35776</v>
      </c>
      <c r="K70" s="34"/>
      <c r="L70" s="46">
        <f>SUM(L55:L69)</f>
        <v>34439.83</v>
      </c>
      <c r="M70" s="35"/>
    </row>
    <row r="71" spans="1:13" ht="15" customHeight="1">
      <c r="A71" s="343" t="s">
        <v>184</v>
      </c>
      <c r="B71" s="38">
        <f>B72-B70</f>
        <v>8421</v>
      </c>
      <c r="C71" s="39">
        <f>(B71/B72)*100</f>
        <v>17.54375</v>
      </c>
      <c r="D71" s="38">
        <f>D72-D70</f>
        <v>9486</v>
      </c>
      <c r="E71" s="39">
        <f>(D71/D72)*100</f>
        <v>20.53202311638276</v>
      </c>
      <c r="F71" s="38">
        <f>F72-F70</f>
        <v>8525</v>
      </c>
      <c r="G71" s="39">
        <f>(F71/F72)*100</f>
        <v>18.94781294452347</v>
      </c>
      <c r="H71" s="38">
        <f>H72-H70</f>
        <v>7510</v>
      </c>
      <c r="I71" s="39">
        <f>(H71/H72)*100</f>
        <v>16.98249739948442</v>
      </c>
      <c r="J71" s="38">
        <f>J72-J70</f>
        <v>7018</v>
      </c>
      <c r="K71" s="39">
        <f>(J71/J72)*100</f>
        <v>16.39949525634435</v>
      </c>
      <c r="L71" s="38">
        <f>L72-L70</f>
        <v>6565.169999999998</v>
      </c>
      <c r="M71" s="40">
        <f>(L71/L72)*100</f>
        <v>16.01065723692232</v>
      </c>
    </row>
    <row r="72" spans="1:13" ht="18" customHeight="1">
      <c r="A72" s="337" t="s">
        <v>115</v>
      </c>
      <c r="B72" s="348">
        <v>48000</v>
      </c>
      <c r="C72" s="339">
        <f>SUM(C55:C71)</f>
        <v>100.00000000000003</v>
      </c>
      <c r="D72" s="348">
        <v>46201</v>
      </c>
      <c r="E72" s="339">
        <f>SUM(E55:E71)</f>
        <v>99.99999999999999</v>
      </c>
      <c r="F72" s="348">
        <v>44992</v>
      </c>
      <c r="G72" s="339">
        <f>SUM(G55:G71)</f>
        <v>100</v>
      </c>
      <c r="H72" s="348">
        <v>44222</v>
      </c>
      <c r="I72" s="339">
        <f>SUM(I55:I71)</f>
        <v>100.00000000000001</v>
      </c>
      <c r="J72" s="348">
        <v>42794</v>
      </c>
      <c r="K72" s="339">
        <f>SUM(K55:K71)</f>
        <v>100</v>
      </c>
      <c r="L72" s="348">
        <v>41005</v>
      </c>
      <c r="M72" s="340">
        <f>SUM(M55:M71)</f>
        <v>100</v>
      </c>
    </row>
    <row r="73" spans="1:13" ht="15" customHeight="1">
      <c r="A73" s="345" t="s">
        <v>190</v>
      </c>
      <c r="B73" s="345"/>
      <c r="C73" s="345"/>
      <c r="D73" s="47"/>
      <c r="E73" s="47"/>
      <c r="F73" s="49"/>
      <c r="G73" s="49"/>
      <c r="H73" s="349"/>
      <c r="I73" s="349"/>
      <c r="J73" s="349"/>
      <c r="K73" s="349"/>
      <c r="L73" s="349"/>
      <c r="M73" s="349"/>
    </row>
    <row r="74" spans="1:13" ht="12.75" customHeight="1">
      <c r="A74" s="42" t="s">
        <v>186</v>
      </c>
      <c r="B74" s="42"/>
      <c r="C74" s="42"/>
      <c r="D74"/>
      <c r="E74"/>
      <c r="F74" s="3"/>
      <c r="G74" s="3"/>
      <c r="H74" s="29"/>
      <c r="I74" s="29"/>
      <c r="J74" s="29"/>
      <c r="K74" s="29"/>
      <c r="L74" s="29"/>
      <c r="M74" s="29"/>
    </row>
    <row r="75" spans="1:13" ht="15">
      <c r="A75"/>
      <c r="B75"/>
      <c r="C75"/>
      <c r="D75"/>
      <c r="E75"/>
      <c r="F75" s="6"/>
      <c r="G75" s="29"/>
      <c r="H75" s="29"/>
      <c r="I75" s="29"/>
      <c r="J75" s="29"/>
      <c r="K75" s="29"/>
      <c r="L75" s="29"/>
      <c r="M75" s="29"/>
    </row>
    <row r="76" spans="1:6" ht="15">
      <c r="A76"/>
      <c r="B76"/>
      <c r="C76"/>
      <c r="D76"/>
      <c r="E76"/>
      <c r="F76" s="29"/>
    </row>
  </sheetData>
  <sheetProtection/>
  <mergeCells count="29">
    <mergeCell ref="A52:M52"/>
    <mergeCell ref="A53:A54"/>
    <mergeCell ref="D53:E53"/>
    <mergeCell ref="F53:G53"/>
    <mergeCell ref="H53:I53"/>
    <mergeCell ref="J53:K53"/>
    <mergeCell ref="L53:M53"/>
    <mergeCell ref="B53:C53"/>
    <mergeCell ref="A6:M6"/>
    <mergeCell ref="L7:M7"/>
    <mergeCell ref="A29:M29"/>
    <mergeCell ref="A30:A31"/>
    <mergeCell ref="D30:E30"/>
    <mergeCell ref="F30:G30"/>
    <mergeCell ref="H30:I30"/>
    <mergeCell ref="J30:K30"/>
    <mergeCell ref="L30:M30"/>
    <mergeCell ref="A7:A8"/>
    <mergeCell ref="D7:E7"/>
    <mergeCell ref="F7:G7"/>
    <mergeCell ref="H7:I7"/>
    <mergeCell ref="J7:K7"/>
    <mergeCell ref="B7:C7"/>
    <mergeCell ref="B30:C30"/>
    <mergeCell ref="A1:M1"/>
    <mergeCell ref="A2:M2"/>
    <mergeCell ref="A3:M3"/>
    <mergeCell ref="A4:M4"/>
    <mergeCell ref="A5:M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104.421875" style="0" customWidth="1"/>
    <col min="4" max="4" width="10.7109375" style="0" customWidth="1"/>
    <col min="5" max="5" width="2.7109375" style="0" customWidth="1"/>
  </cols>
  <sheetData>
    <row r="1" spans="1:5" ht="15" customHeight="1">
      <c r="A1" s="441"/>
      <c r="B1" s="1170"/>
      <c r="C1" s="1170"/>
      <c r="D1" s="1170"/>
      <c r="E1" s="279"/>
    </row>
    <row r="2" spans="1:5" ht="16.5" customHeight="1">
      <c r="A2" s="442"/>
      <c r="B2" s="434"/>
      <c r="C2" s="440"/>
      <c r="D2" s="130"/>
      <c r="E2" s="279"/>
    </row>
    <row r="3" spans="1:5" ht="16.5" customHeight="1">
      <c r="A3" s="442"/>
      <c r="B3" s="434"/>
      <c r="C3" s="440" t="s">
        <v>315</v>
      </c>
      <c r="D3" s="130"/>
      <c r="E3" s="279"/>
    </row>
    <row r="4" spans="1:5" ht="8.25" customHeight="1">
      <c r="A4" s="442"/>
      <c r="B4" s="434"/>
      <c r="C4" s="440"/>
      <c r="D4" s="130"/>
      <c r="E4" s="279"/>
    </row>
    <row r="5" spans="1:5" ht="15" customHeight="1">
      <c r="A5" s="442"/>
      <c r="B5" s="435"/>
      <c r="C5" s="1168" t="s">
        <v>430</v>
      </c>
      <c r="D5" s="130"/>
      <c r="E5" s="279"/>
    </row>
    <row r="6" spans="1:5" ht="15" customHeight="1">
      <c r="A6" s="442"/>
      <c r="B6" s="172"/>
      <c r="C6" s="1200" t="s">
        <v>550</v>
      </c>
      <c r="D6" s="130"/>
      <c r="E6" s="279"/>
    </row>
    <row r="7" spans="1:5" ht="15" customHeight="1">
      <c r="A7" s="442"/>
      <c r="B7" s="138"/>
      <c r="C7" s="1172" t="s">
        <v>549</v>
      </c>
      <c r="D7" s="130"/>
      <c r="E7" s="279"/>
    </row>
    <row r="8" spans="1:5" ht="15" customHeight="1">
      <c r="A8" s="442"/>
      <c r="B8" s="436"/>
      <c r="C8" s="1172" t="s">
        <v>427</v>
      </c>
      <c r="D8" s="130"/>
      <c r="E8" s="279"/>
    </row>
    <row r="9" spans="1:5" ht="15" customHeight="1">
      <c r="A9" s="442"/>
      <c r="B9" s="436"/>
      <c r="C9" s="1172" t="s">
        <v>429</v>
      </c>
      <c r="D9" s="130"/>
      <c r="E9" s="279"/>
    </row>
    <row r="10" spans="1:5" ht="15" customHeight="1">
      <c r="A10" s="442"/>
      <c r="B10" s="436"/>
      <c r="C10" s="1172" t="s">
        <v>428</v>
      </c>
      <c r="D10" s="130"/>
      <c r="E10" s="279"/>
    </row>
    <row r="11" spans="1:5" ht="15" customHeight="1">
      <c r="A11" s="442"/>
      <c r="B11" s="436"/>
      <c r="C11" s="1172" t="s">
        <v>551</v>
      </c>
      <c r="D11" s="130"/>
      <c r="E11" s="279"/>
    </row>
    <row r="12" spans="1:5" ht="15" customHeight="1">
      <c r="A12" s="442"/>
      <c r="B12" s="436"/>
      <c r="C12" s="1172" t="s">
        <v>517</v>
      </c>
      <c r="D12" s="130"/>
      <c r="E12" s="279"/>
    </row>
    <row r="13" spans="1:5" ht="15" customHeight="1">
      <c r="A13" s="442"/>
      <c r="B13" s="436"/>
      <c r="C13" s="1173" t="s">
        <v>518</v>
      </c>
      <c r="D13" s="130"/>
      <c r="E13" s="279"/>
    </row>
    <row r="14" spans="1:5" ht="15" customHeight="1">
      <c r="A14" s="442"/>
      <c r="B14" s="437"/>
      <c r="C14" s="1173" t="s">
        <v>548</v>
      </c>
      <c r="D14" s="130"/>
      <c r="E14" s="279"/>
    </row>
    <row r="15" spans="1:5" ht="15" customHeight="1">
      <c r="A15" s="442"/>
      <c r="B15" s="437"/>
      <c r="C15" s="1173" t="s">
        <v>553</v>
      </c>
      <c r="D15" s="130"/>
      <c r="E15" s="279"/>
    </row>
    <row r="16" spans="1:5" ht="15" customHeight="1">
      <c r="A16" s="442"/>
      <c r="B16" s="436"/>
      <c r="C16" s="1173" t="s">
        <v>552</v>
      </c>
      <c r="D16" s="130"/>
      <c r="E16" s="279"/>
    </row>
    <row r="17" spans="1:5" ht="15" customHeight="1">
      <c r="A17" s="442"/>
      <c r="B17" s="436"/>
      <c r="C17" s="1173" t="s">
        <v>521</v>
      </c>
      <c r="D17" s="130"/>
      <c r="E17" s="279"/>
    </row>
    <row r="18" spans="1:5" ht="15" customHeight="1">
      <c r="A18" s="442"/>
      <c r="B18" s="436"/>
      <c r="C18" s="1172" t="s">
        <v>522</v>
      </c>
      <c r="D18" s="130"/>
      <c r="E18" s="279"/>
    </row>
    <row r="19" spans="1:5" ht="15" customHeight="1">
      <c r="A19" s="442"/>
      <c r="B19" s="436"/>
      <c r="C19" s="1172" t="s">
        <v>523</v>
      </c>
      <c r="D19" s="130"/>
      <c r="E19" s="279"/>
    </row>
    <row r="20" spans="1:5" ht="15" customHeight="1">
      <c r="A20" s="442"/>
      <c r="B20" s="436"/>
      <c r="C20" s="1172" t="s">
        <v>524</v>
      </c>
      <c r="D20" s="130"/>
      <c r="E20" s="279"/>
    </row>
    <row r="21" spans="1:5" ht="15" customHeight="1">
      <c r="A21" s="442"/>
      <c r="B21" s="436"/>
      <c r="C21" s="1172" t="s">
        <v>525</v>
      </c>
      <c r="D21" s="130"/>
      <c r="E21" s="279"/>
    </row>
    <row r="22" spans="1:5" ht="15" customHeight="1">
      <c r="A22" s="442"/>
      <c r="B22" s="436"/>
      <c r="C22" s="1172" t="s">
        <v>526</v>
      </c>
      <c r="D22" s="130"/>
      <c r="E22" s="279"/>
    </row>
    <row r="23" spans="1:5" ht="15" customHeight="1">
      <c r="A23" s="442"/>
      <c r="B23" s="436"/>
      <c r="C23" s="1172" t="s">
        <v>527</v>
      </c>
      <c r="D23" s="130"/>
      <c r="E23" s="279"/>
    </row>
    <row r="24" spans="1:5" ht="15" customHeight="1">
      <c r="A24" s="442"/>
      <c r="B24" s="436"/>
      <c r="C24" s="1172" t="s">
        <v>528</v>
      </c>
      <c r="D24" s="130"/>
      <c r="E24" s="279"/>
    </row>
    <row r="25" spans="1:5" ht="15" customHeight="1">
      <c r="A25" s="442"/>
      <c r="B25" s="436"/>
      <c r="C25" s="1172" t="s">
        <v>529</v>
      </c>
      <c r="D25" s="130"/>
      <c r="E25" s="279"/>
    </row>
    <row r="26" spans="1:5" ht="15" customHeight="1">
      <c r="A26" s="442"/>
      <c r="B26" s="438"/>
      <c r="C26" s="1172" t="s">
        <v>533</v>
      </c>
      <c r="D26" s="130"/>
      <c r="E26" s="279"/>
    </row>
    <row r="27" spans="1:5" ht="15" customHeight="1">
      <c r="A27" s="442"/>
      <c r="B27" s="439"/>
      <c r="C27" s="1172" t="s">
        <v>530</v>
      </c>
      <c r="D27" s="130"/>
      <c r="E27" s="279"/>
    </row>
    <row r="28" spans="1:5" ht="15" customHeight="1">
      <c r="A28" s="442"/>
      <c r="B28" s="439"/>
      <c r="C28" s="1172" t="s">
        <v>531</v>
      </c>
      <c r="D28" s="130"/>
      <c r="E28" s="279"/>
    </row>
    <row r="29" spans="1:5" ht="15" customHeight="1">
      <c r="A29" s="442"/>
      <c r="B29" s="439"/>
      <c r="C29" s="1172" t="s">
        <v>532</v>
      </c>
      <c r="D29" s="130"/>
      <c r="E29" s="279"/>
    </row>
    <row r="30" spans="1:5" ht="15" customHeight="1">
      <c r="A30" s="1171"/>
      <c r="B30" s="111"/>
      <c r="C30" s="1174"/>
      <c r="D30" s="131"/>
      <c r="E30" s="279"/>
    </row>
    <row r="31" spans="1:5" ht="12.75">
      <c r="A31" s="279"/>
      <c r="B31" s="279"/>
      <c r="C31" s="279"/>
      <c r="D31" s="279"/>
      <c r="E31" s="279"/>
    </row>
  </sheetData>
  <sheetProtection/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N25" sqref="N25"/>
    </sheetView>
  </sheetViews>
  <sheetFormatPr defaultColWidth="9.140625" defaultRowHeight="12.75"/>
  <sheetData>
    <row r="1" spans="1:4" ht="18">
      <c r="A1" s="498" t="s">
        <v>344</v>
      </c>
      <c r="B1" s="498"/>
      <c r="C1" s="498"/>
      <c r="D1" s="498"/>
    </row>
    <row r="4" spans="1:17" ht="13.5" thickBot="1">
      <c r="A4" s="443"/>
      <c r="P4" s="443"/>
      <c r="Q4" s="443"/>
    </row>
    <row r="5" spans="1:17" ht="13.5" thickBot="1">
      <c r="A5" s="444" t="s">
        <v>330</v>
      </c>
      <c r="B5" s="445">
        <v>2001</v>
      </c>
      <c r="C5" s="445">
        <v>2002</v>
      </c>
      <c r="D5" s="445">
        <v>2003</v>
      </c>
      <c r="E5" s="445">
        <v>2004</v>
      </c>
      <c r="F5" s="445">
        <v>2005</v>
      </c>
      <c r="G5" s="445">
        <v>2006</v>
      </c>
      <c r="H5" s="445">
        <v>2007</v>
      </c>
      <c r="I5" s="445">
        <v>2008</v>
      </c>
      <c r="J5" s="445">
        <v>2009</v>
      </c>
      <c r="K5" s="445">
        <v>2010</v>
      </c>
      <c r="L5" s="445">
        <v>2011</v>
      </c>
      <c r="M5" s="445">
        <v>2012</v>
      </c>
      <c r="N5" s="446">
        <v>2013</v>
      </c>
      <c r="O5" s="447">
        <v>2014</v>
      </c>
      <c r="P5" s="448">
        <v>2015</v>
      </c>
      <c r="Q5" s="448">
        <v>2016</v>
      </c>
    </row>
    <row r="6" spans="1:17" ht="13.5" thickBot="1">
      <c r="A6" s="449" t="s">
        <v>331</v>
      </c>
      <c r="B6" s="450">
        <v>22.5</v>
      </c>
      <c r="C6" s="450">
        <v>37.9</v>
      </c>
      <c r="D6" s="450">
        <v>20.1</v>
      </c>
      <c r="E6" s="450">
        <v>31.7</v>
      </c>
      <c r="F6" s="450">
        <v>23.8</v>
      </c>
      <c r="G6" s="451">
        <v>33</v>
      </c>
      <c r="H6" s="452">
        <v>25.1</v>
      </c>
      <c r="I6" s="453">
        <v>35.5</v>
      </c>
      <c r="J6" s="453">
        <v>28.8</v>
      </c>
      <c r="K6" s="453">
        <v>36.8</v>
      </c>
      <c r="L6" s="453">
        <v>32.2</v>
      </c>
      <c r="M6" s="453">
        <v>38.3</v>
      </c>
      <c r="N6" s="454">
        <v>38.3</v>
      </c>
      <c r="O6" s="454">
        <v>32.6</v>
      </c>
      <c r="P6" s="454">
        <v>32</v>
      </c>
      <c r="Q6" s="454">
        <v>40.27</v>
      </c>
    </row>
    <row r="7" spans="1:17" ht="13.5" thickBot="1">
      <c r="A7" s="449" t="s">
        <v>332</v>
      </c>
      <c r="B7" s="450">
        <v>8.8</v>
      </c>
      <c r="C7" s="450">
        <v>10.5</v>
      </c>
      <c r="D7" s="450">
        <v>8.7</v>
      </c>
      <c r="E7" s="450">
        <v>7.5</v>
      </c>
      <c r="F7" s="450">
        <v>9.1</v>
      </c>
      <c r="G7" s="451">
        <v>9.5</v>
      </c>
      <c r="H7" s="452">
        <v>10.9</v>
      </c>
      <c r="I7" s="453">
        <v>10.5</v>
      </c>
      <c r="J7" s="453">
        <v>10.6</v>
      </c>
      <c r="K7" s="453">
        <v>11.2</v>
      </c>
      <c r="L7" s="453">
        <v>11.3</v>
      </c>
      <c r="M7" s="453">
        <v>12.5</v>
      </c>
      <c r="N7" s="454">
        <v>10.9</v>
      </c>
      <c r="O7" s="454">
        <v>13</v>
      </c>
      <c r="P7" s="454">
        <v>11.2</v>
      </c>
      <c r="Q7" s="454">
        <v>9.399</v>
      </c>
    </row>
    <row r="8" spans="1:17" ht="13.5" thickBot="1">
      <c r="A8" s="455" t="s">
        <v>115</v>
      </c>
      <c r="B8" s="456">
        <f aca="true" t="shared" si="0" ref="B8:P8">SUM(B6:B7)</f>
        <v>31.3</v>
      </c>
      <c r="C8" s="456">
        <f t="shared" si="0"/>
        <v>48.4</v>
      </c>
      <c r="D8" s="456">
        <f t="shared" si="0"/>
        <v>28.8</v>
      </c>
      <c r="E8" s="456">
        <f t="shared" si="0"/>
        <v>39.2</v>
      </c>
      <c r="F8" s="456">
        <f t="shared" si="0"/>
        <v>32.9</v>
      </c>
      <c r="G8" s="456">
        <f t="shared" si="0"/>
        <v>42.5</v>
      </c>
      <c r="H8" s="456">
        <f t="shared" si="0"/>
        <v>36</v>
      </c>
      <c r="I8" s="457">
        <f t="shared" si="0"/>
        <v>46</v>
      </c>
      <c r="J8" s="457">
        <f t="shared" si="0"/>
        <v>39.4</v>
      </c>
      <c r="K8" s="457">
        <f t="shared" si="0"/>
        <v>48</v>
      </c>
      <c r="L8" s="457">
        <f t="shared" si="0"/>
        <v>43.5</v>
      </c>
      <c r="M8" s="457">
        <f t="shared" si="0"/>
        <v>50.8</v>
      </c>
      <c r="N8" s="457">
        <f t="shared" si="0"/>
        <v>49.199999999999996</v>
      </c>
      <c r="O8" s="457">
        <f t="shared" si="0"/>
        <v>45.6</v>
      </c>
      <c r="P8" s="754">
        <f t="shared" si="0"/>
        <v>43.2</v>
      </c>
      <c r="Q8" s="754">
        <f>SUM(Q6:Q7)</f>
        <v>49.669000000000004</v>
      </c>
    </row>
    <row r="9" spans="2:17" ht="12.75">
      <c r="B9">
        <v>31300</v>
      </c>
      <c r="C9">
        <v>48480</v>
      </c>
      <c r="D9">
        <v>28820</v>
      </c>
      <c r="E9">
        <v>39272</v>
      </c>
      <c r="F9">
        <v>32944</v>
      </c>
      <c r="G9">
        <v>42512</v>
      </c>
      <c r="H9">
        <v>36069.6</v>
      </c>
      <c r="I9">
        <v>45992.1</v>
      </c>
      <c r="J9">
        <v>39469.9</v>
      </c>
      <c r="K9">
        <v>48094.8</v>
      </c>
      <c r="L9">
        <v>43484.2</v>
      </c>
      <c r="M9">
        <v>50826.4</v>
      </c>
      <c r="N9">
        <v>49151.6</v>
      </c>
      <c r="O9">
        <v>45639</v>
      </c>
      <c r="P9">
        <v>43235</v>
      </c>
      <c r="Q9">
        <v>49669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L23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140625" style="0" customWidth="1"/>
    <col min="2" max="2" width="10.28125" style="0" bestFit="1" customWidth="1"/>
    <col min="3" max="3" width="8.57421875" style="0" customWidth="1"/>
    <col min="4" max="4" width="10.00390625" style="0" customWidth="1"/>
    <col min="5" max="5" width="7.7109375" style="0" bestFit="1" customWidth="1"/>
    <col min="6" max="6" width="8.8515625" style="0" bestFit="1" customWidth="1"/>
    <col min="7" max="7" width="10.421875" style="0" bestFit="1" customWidth="1"/>
    <col min="8" max="8" width="7.8515625" style="0" bestFit="1" customWidth="1"/>
    <col min="9" max="9" width="8.7109375" style="0" bestFit="1" customWidth="1"/>
    <col min="10" max="10" width="6.421875" style="0" bestFit="1" customWidth="1"/>
    <col min="11" max="11" width="8.7109375" style="0" bestFit="1" customWidth="1"/>
    <col min="12" max="12" width="9.28125" style="0" bestFit="1" customWidth="1"/>
  </cols>
  <sheetData>
    <row r="3" spans="1:10" ht="12.75">
      <c r="A3" s="1486" t="s">
        <v>576</v>
      </c>
      <c r="B3" s="1486"/>
      <c r="C3" s="1486"/>
      <c r="D3" s="1486"/>
      <c r="E3" s="1486"/>
      <c r="F3" s="1486"/>
      <c r="G3" s="1486"/>
      <c r="H3" s="1486"/>
      <c r="I3" s="1486"/>
      <c r="J3" s="1486"/>
    </row>
    <row r="4" ht="12.75">
      <c r="H4" s="1152"/>
    </row>
    <row r="5" spans="1:10" ht="25.5">
      <c r="A5" s="1214" t="s">
        <v>224</v>
      </c>
      <c r="B5" s="1214" t="s">
        <v>558</v>
      </c>
      <c r="C5" s="1214" t="s">
        <v>16</v>
      </c>
      <c r="D5" s="1214" t="s">
        <v>559</v>
      </c>
      <c r="E5" s="1214" t="s">
        <v>560</v>
      </c>
      <c r="F5" s="1214" t="s">
        <v>17</v>
      </c>
      <c r="G5" s="1214" t="s">
        <v>18</v>
      </c>
      <c r="H5" s="1214" t="s">
        <v>561</v>
      </c>
      <c r="I5" s="1214" t="s">
        <v>562</v>
      </c>
      <c r="J5" s="1217" t="s">
        <v>563</v>
      </c>
    </row>
    <row r="6" spans="1:10" ht="12.75">
      <c r="A6" s="1212" t="s">
        <v>237</v>
      </c>
      <c r="B6" s="1219">
        <v>13250</v>
      </c>
      <c r="C6" s="1213">
        <v>39272</v>
      </c>
      <c r="D6" s="1152">
        <v>3.78</v>
      </c>
      <c r="E6" s="557">
        <f>B6+C6+D6</f>
        <v>52525.78</v>
      </c>
      <c r="F6" s="1152">
        <v>14940</v>
      </c>
      <c r="G6" s="1152">
        <v>27047.2838333333</v>
      </c>
      <c r="H6" s="557">
        <f>E6-(F6+G6)</f>
        <v>10538.4961666667</v>
      </c>
      <c r="I6" s="1152">
        <f>H6-B7</f>
        <v>-4878.5038333333</v>
      </c>
      <c r="J6" s="1218">
        <f>((I6/E6)*100)*-1</f>
        <v>9.287827488393889</v>
      </c>
    </row>
    <row r="7" spans="1:10" ht="12.75">
      <c r="A7" s="1212" t="s">
        <v>239</v>
      </c>
      <c r="B7" s="1219">
        <v>15417</v>
      </c>
      <c r="C7" s="1152">
        <v>32944</v>
      </c>
      <c r="D7" s="1152">
        <v>4.195</v>
      </c>
      <c r="E7" s="557">
        <f aca="true" t="shared" si="0" ref="E7:E18">B7+C7+D7</f>
        <v>48365.195</v>
      </c>
      <c r="F7" s="1152">
        <v>15538</v>
      </c>
      <c r="G7" s="1152">
        <v>26431.423</v>
      </c>
      <c r="H7" s="557">
        <f aca="true" t="shared" si="1" ref="H7:H18">E7-(F7+G7)</f>
        <v>6395.7720000000045</v>
      </c>
      <c r="I7" s="1152">
        <f aca="true" t="shared" si="2" ref="I7:I17">H7-B8</f>
        <v>-5459.2279999999955</v>
      </c>
      <c r="J7" s="1218">
        <f aca="true" t="shared" si="3" ref="J7:J17">((I7/E7)*100)*-1</f>
        <v>11.287513675898538</v>
      </c>
    </row>
    <row r="8" spans="1:10" ht="12.75">
      <c r="A8" s="1212" t="s">
        <v>240</v>
      </c>
      <c r="B8" s="1219">
        <v>11855</v>
      </c>
      <c r="C8" s="1152">
        <v>42512</v>
      </c>
      <c r="D8" s="1152">
        <v>5.363</v>
      </c>
      <c r="E8" s="557">
        <f t="shared" si="0"/>
        <v>54372.363</v>
      </c>
      <c r="F8" s="1152">
        <v>16331</v>
      </c>
      <c r="G8" s="1152">
        <v>27977.6623333333</v>
      </c>
      <c r="H8" s="557">
        <f t="shared" si="1"/>
        <v>10063.7006666667</v>
      </c>
      <c r="I8" s="1152">
        <f t="shared" si="2"/>
        <v>-8406.2993333333</v>
      </c>
      <c r="J8" s="1218">
        <f t="shared" si="3"/>
        <v>15.460610629214882</v>
      </c>
    </row>
    <row r="9" spans="1:10" ht="12.75">
      <c r="A9" s="1212" t="s">
        <v>242</v>
      </c>
      <c r="B9" s="1219">
        <v>18470</v>
      </c>
      <c r="C9" s="1152">
        <v>36069.6</v>
      </c>
      <c r="D9" s="1152">
        <v>7.554</v>
      </c>
      <c r="E9" s="557">
        <f t="shared" si="0"/>
        <v>54547.153999999995</v>
      </c>
      <c r="F9" s="1152">
        <v>17120</v>
      </c>
      <c r="G9" s="1152">
        <v>28398.201</v>
      </c>
      <c r="H9" s="557">
        <f t="shared" si="1"/>
        <v>9028.952999999994</v>
      </c>
      <c r="I9" s="1152">
        <f t="shared" si="2"/>
        <v>-4173.047000000006</v>
      </c>
      <c r="J9" s="1218">
        <f t="shared" si="3"/>
        <v>7.650347807330162</v>
      </c>
    </row>
    <row r="10" spans="1:10" ht="12.75">
      <c r="A10" s="1212" t="s">
        <v>243</v>
      </c>
      <c r="B10" s="1219">
        <v>13202</v>
      </c>
      <c r="C10" s="1152">
        <v>45992.1</v>
      </c>
      <c r="D10" s="1152">
        <v>19.67</v>
      </c>
      <c r="E10" s="557">
        <f t="shared" si="0"/>
        <v>59213.77</v>
      </c>
      <c r="F10" s="1152">
        <v>17660</v>
      </c>
      <c r="G10" s="1152">
        <v>29727.6933333333</v>
      </c>
      <c r="H10" s="557">
        <f t="shared" si="1"/>
        <v>11826.076666666697</v>
      </c>
      <c r="I10" s="1152">
        <f t="shared" si="2"/>
        <v>-3939.923333333303</v>
      </c>
      <c r="J10" s="1218">
        <f t="shared" si="3"/>
        <v>6.65372823472193</v>
      </c>
    </row>
    <row r="11" spans="1:10" ht="12.75">
      <c r="A11" s="1212" t="s">
        <v>564</v>
      </c>
      <c r="B11" s="1219">
        <v>15766</v>
      </c>
      <c r="C11" s="1152">
        <v>39469.9</v>
      </c>
      <c r="D11" s="1152">
        <v>23.004</v>
      </c>
      <c r="E11" s="557">
        <f t="shared" si="0"/>
        <v>55258.904</v>
      </c>
      <c r="F11" s="1152">
        <v>18389</v>
      </c>
      <c r="G11" s="1152">
        <v>30481.32265</v>
      </c>
      <c r="H11" s="557">
        <f t="shared" si="1"/>
        <v>6388.58135</v>
      </c>
      <c r="I11" s="1152">
        <f t="shared" si="2"/>
        <v>-4709.41865</v>
      </c>
      <c r="J11" s="1218">
        <f t="shared" si="3"/>
        <v>8.522461194670091</v>
      </c>
    </row>
    <row r="12" spans="1:10" ht="12.75">
      <c r="A12" s="1212" t="s">
        <v>565</v>
      </c>
      <c r="B12" s="1219">
        <v>11098</v>
      </c>
      <c r="C12" s="1152">
        <v>48094.8</v>
      </c>
      <c r="D12" s="1152">
        <v>32.416</v>
      </c>
      <c r="E12" s="557">
        <f t="shared" si="0"/>
        <v>59225.216</v>
      </c>
      <c r="F12" s="1152">
        <v>19130</v>
      </c>
      <c r="G12" s="1152">
        <v>33493.7023333333</v>
      </c>
      <c r="H12" s="557">
        <f t="shared" si="1"/>
        <v>6601.513666666702</v>
      </c>
      <c r="I12" s="1152">
        <f t="shared" si="2"/>
        <v>-4738.486333333298</v>
      </c>
      <c r="J12" s="1218">
        <f t="shared" si="3"/>
        <v>8.000791982478034</v>
      </c>
    </row>
    <row r="13" spans="1:10" ht="12.75">
      <c r="A13" s="1212" t="s">
        <v>577</v>
      </c>
      <c r="B13" s="1219">
        <v>11340</v>
      </c>
      <c r="C13" s="1152">
        <v>43484.2</v>
      </c>
      <c r="D13" s="1152">
        <v>43.456</v>
      </c>
      <c r="E13" s="557">
        <f t="shared" si="0"/>
        <v>54867.655999999995</v>
      </c>
      <c r="F13" s="1152">
        <v>19720</v>
      </c>
      <c r="G13" s="1152">
        <v>33609.867</v>
      </c>
      <c r="H13" s="557">
        <f t="shared" si="1"/>
        <v>1537.788999999997</v>
      </c>
      <c r="I13" s="1152">
        <f t="shared" si="2"/>
        <v>-8524.211000000003</v>
      </c>
      <c r="J13" s="1218">
        <f t="shared" si="3"/>
        <v>15.535948902209352</v>
      </c>
    </row>
    <row r="14" spans="1:10" ht="12.75">
      <c r="A14" s="1212" t="s">
        <v>566</v>
      </c>
      <c r="B14" s="1219">
        <v>10062</v>
      </c>
      <c r="C14" s="1152">
        <v>50826.4</v>
      </c>
      <c r="D14" s="1152">
        <v>62.632</v>
      </c>
      <c r="E14" s="557">
        <f t="shared" si="0"/>
        <v>60951.032</v>
      </c>
      <c r="F14" s="1152">
        <v>20330</v>
      </c>
      <c r="G14" s="1152">
        <v>28735.1845833333</v>
      </c>
      <c r="H14" s="557">
        <f t="shared" si="1"/>
        <v>11885.8474166667</v>
      </c>
      <c r="I14" s="1152">
        <f t="shared" si="2"/>
        <v>-3705.1525833333</v>
      </c>
      <c r="J14" s="1218">
        <f t="shared" si="3"/>
        <v>6.07890049069768</v>
      </c>
    </row>
    <row r="15" spans="1:10" ht="12.75">
      <c r="A15" s="1212" t="s">
        <v>567</v>
      </c>
      <c r="B15" s="1219">
        <v>15591</v>
      </c>
      <c r="C15" s="1152">
        <v>49151.6</v>
      </c>
      <c r="D15" s="1152">
        <v>62.624</v>
      </c>
      <c r="E15" s="557">
        <f t="shared" si="0"/>
        <v>64805.224</v>
      </c>
      <c r="F15" s="1152">
        <v>20080</v>
      </c>
      <c r="G15" s="1152">
        <v>32010.3301666667</v>
      </c>
      <c r="H15" s="557">
        <f t="shared" si="1"/>
        <v>12714.893833333306</v>
      </c>
      <c r="I15" s="1152">
        <f t="shared" si="2"/>
        <v>-4156.106166666694</v>
      </c>
      <c r="J15" s="1218">
        <f t="shared" si="3"/>
        <v>6.413227067414648</v>
      </c>
    </row>
    <row r="16" spans="1:10" ht="12.75">
      <c r="A16" s="1212" t="s">
        <v>568</v>
      </c>
      <c r="B16" s="1219">
        <v>16871</v>
      </c>
      <c r="C16" s="1213">
        <v>45346</v>
      </c>
      <c r="D16" s="1152">
        <v>92.561</v>
      </c>
      <c r="E16" s="557">
        <f t="shared" si="0"/>
        <v>62309.561</v>
      </c>
      <c r="F16" s="1152">
        <v>20300</v>
      </c>
      <c r="G16" s="1152">
        <v>36735.2211416667</v>
      </c>
      <c r="H16" s="557">
        <f t="shared" si="1"/>
        <v>5274.339858333304</v>
      </c>
      <c r="I16" s="1152">
        <f t="shared" si="2"/>
        <v>-10641.660141666696</v>
      </c>
      <c r="J16" s="1218">
        <f t="shared" si="3"/>
        <v>17.078695421504726</v>
      </c>
    </row>
    <row r="17" spans="1:10" ht="12.75">
      <c r="A17" s="1221" t="s">
        <v>569</v>
      </c>
      <c r="B17" s="1219">
        <v>15916</v>
      </c>
      <c r="C17" s="1213">
        <v>43235</v>
      </c>
      <c r="D17" s="1152">
        <v>149.055</v>
      </c>
      <c r="E17" s="557">
        <f t="shared" si="0"/>
        <v>59300.055</v>
      </c>
      <c r="F17" s="1152">
        <v>21000</v>
      </c>
      <c r="G17" s="1152">
        <v>37119.724</v>
      </c>
      <c r="H17" s="557">
        <f t="shared" si="1"/>
        <v>1180.3309999999983</v>
      </c>
      <c r="I17" s="1152">
        <f t="shared" si="2"/>
        <v>-13715.669000000002</v>
      </c>
      <c r="J17" s="1218">
        <f t="shared" si="3"/>
        <v>23.129268598486124</v>
      </c>
    </row>
    <row r="18" spans="1:12" ht="12.75">
      <c r="A18" s="1222" t="s">
        <v>570</v>
      </c>
      <c r="B18" s="1220">
        <v>14896</v>
      </c>
      <c r="C18" s="1215">
        <v>49669</v>
      </c>
      <c r="D18" s="1215">
        <v>160</v>
      </c>
      <c r="E18" s="1216">
        <f t="shared" si="0"/>
        <v>64725</v>
      </c>
      <c r="F18" s="1215">
        <v>21500</v>
      </c>
      <c r="G18" s="1215">
        <v>35000</v>
      </c>
      <c r="H18" s="1216">
        <f t="shared" si="1"/>
        <v>8225</v>
      </c>
      <c r="I18" s="1215">
        <v>0</v>
      </c>
      <c r="J18" s="1215">
        <v>0</v>
      </c>
      <c r="L18" s="1202"/>
    </row>
    <row r="19" spans="1:2" ht="12.75">
      <c r="A19" s="1223" t="s">
        <v>575</v>
      </c>
      <c r="B19" s="1224"/>
    </row>
    <row r="20" ht="12.75">
      <c r="A20" s="1223" t="s">
        <v>573</v>
      </c>
    </row>
    <row r="21" ht="12.75">
      <c r="A21" s="1223" t="s">
        <v>571</v>
      </c>
    </row>
    <row r="22" ht="12.75">
      <c r="A22" s="1223" t="s">
        <v>574</v>
      </c>
    </row>
    <row r="23" ht="12.75">
      <c r="A23" s="1223" t="s">
        <v>572</v>
      </c>
    </row>
  </sheetData>
  <sheetProtection/>
  <mergeCells count="1">
    <mergeCell ref="A3:J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.57421875" style="1273" customWidth="1"/>
    <col min="2" max="2" width="124.140625" style="0" customWidth="1"/>
    <col min="3" max="3" width="3.57421875" style="0" customWidth="1"/>
  </cols>
  <sheetData>
    <row r="1" spans="1:3" ht="15" customHeight="1">
      <c r="A1" s="279"/>
      <c r="B1" s="279"/>
      <c r="C1" s="279"/>
    </row>
    <row r="2" spans="1:3" ht="18.75" customHeight="1">
      <c r="A2" s="279"/>
      <c r="B2" s="1269" t="s">
        <v>579</v>
      </c>
      <c r="C2" s="279"/>
    </row>
    <row r="3" spans="1:3" ht="9.75" customHeight="1">
      <c r="A3" s="279"/>
      <c r="B3" s="1270"/>
      <c r="C3" s="279"/>
    </row>
    <row r="4" spans="1:3" ht="107.25" customHeight="1">
      <c r="A4" s="279"/>
      <c r="B4" s="1324" t="s">
        <v>608</v>
      </c>
      <c r="C4" s="279"/>
    </row>
    <row r="5" spans="1:3" ht="11.25" customHeight="1">
      <c r="A5" s="279"/>
      <c r="B5" s="1324"/>
      <c r="C5" s="279"/>
    </row>
    <row r="6" spans="1:3" ht="58.5" customHeight="1">
      <c r="A6" s="279"/>
      <c r="B6" s="1324" t="s">
        <v>609</v>
      </c>
      <c r="C6" s="279"/>
    </row>
    <row r="7" spans="1:3" ht="9" customHeight="1">
      <c r="A7" s="279"/>
      <c r="B7" s="1325"/>
      <c r="C7" s="442"/>
    </row>
    <row r="8" spans="1:3" ht="44.25" customHeight="1">
      <c r="A8" s="279"/>
      <c r="B8" s="1324" t="s">
        <v>580</v>
      </c>
      <c r="C8" s="279"/>
    </row>
    <row r="9" spans="1:3" ht="9" customHeight="1">
      <c r="A9" s="279"/>
      <c r="B9" s="1326"/>
      <c r="C9" s="279"/>
    </row>
    <row r="10" spans="1:3" ht="60.75" customHeight="1">
      <c r="A10" s="279"/>
      <c r="B10" s="1326" t="s">
        <v>615</v>
      </c>
      <c r="C10" s="279"/>
    </row>
    <row r="11" spans="1:3" ht="9" customHeight="1">
      <c r="A11" s="279"/>
      <c r="B11" s="1326"/>
      <c r="C11" s="279"/>
    </row>
    <row r="12" spans="1:3" ht="60" customHeight="1">
      <c r="A12" s="279"/>
      <c r="B12" s="1324" t="s">
        <v>616</v>
      </c>
      <c r="C12" s="279"/>
    </row>
    <row r="13" spans="1:3" ht="9" customHeight="1">
      <c r="A13" s="279"/>
      <c r="B13" s="1271"/>
      <c r="C13" s="279"/>
    </row>
    <row r="14" spans="1:3" ht="9" customHeight="1">
      <c r="A14" s="279"/>
      <c r="B14" s="1272"/>
      <c r="C14" s="279"/>
    </row>
    <row r="15" spans="1:3" ht="15" customHeight="1">
      <c r="A15" s="279"/>
      <c r="B15" s="279"/>
      <c r="C15" s="27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W9" sqref="W9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12.57421875" style="0" customWidth="1"/>
    <col min="4" max="4" width="8.8515625" style="0" bestFit="1" customWidth="1"/>
    <col min="5" max="5" width="6.7109375" style="0" customWidth="1"/>
    <col min="6" max="6" width="7.421875" style="0" bestFit="1" customWidth="1"/>
    <col min="7" max="7" width="6.7109375" style="0" bestFit="1" customWidth="1"/>
    <col min="8" max="8" width="8.8515625" style="0" bestFit="1" customWidth="1"/>
    <col min="9" max="9" width="6.7109375" style="0" customWidth="1"/>
    <col min="10" max="10" width="1.7109375" style="0" customWidth="1"/>
    <col min="11" max="11" width="12.8515625" style="0" customWidth="1"/>
    <col min="12" max="12" width="7.7109375" style="0" bestFit="1" customWidth="1"/>
    <col min="13" max="13" width="7.28125" style="0" customWidth="1"/>
    <col min="14" max="14" width="7.57421875" style="0" bestFit="1" customWidth="1"/>
    <col min="15" max="15" width="1.7109375" style="0" customWidth="1"/>
    <col min="16" max="16" width="13.7109375" style="0" bestFit="1" customWidth="1"/>
    <col min="17" max="17" width="9.00390625" style="0" bestFit="1" customWidth="1"/>
    <col min="18" max="18" width="6.7109375" style="0" bestFit="1" customWidth="1"/>
    <col min="19" max="19" width="7.140625" style="0" bestFit="1" customWidth="1"/>
    <col min="20" max="20" width="2.28125" style="0" customWidth="1"/>
    <col min="21" max="21" width="2.7109375" style="0" customWidth="1"/>
    <col min="22" max="22" width="8.8515625" style="0" bestFit="1" customWidth="1"/>
  </cols>
  <sheetData>
    <row r="1" spans="1:21" ht="16.5" customHeight="1">
      <c r="A1" s="1328" t="s">
        <v>403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  <c r="Q1" s="1328"/>
      <c r="R1" s="1328"/>
      <c r="S1" s="1328"/>
      <c r="T1" s="1328"/>
      <c r="U1" s="1328"/>
    </row>
    <row r="2" spans="1:21" ht="13.5" customHeight="1">
      <c r="A2" s="58"/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  <c r="U2" s="57"/>
    </row>
    <row r="3" spans="1:21" ht="13.5" customHeight="1">
      <c r="A3" s="58"/>
      <c r="B3" s="1175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6"/>
      <c r="R3" s="1176"/>
      <c r="S3" s="1176"/>
      <c r="T3" s="1177"/>
      <c r="U3" s="57"/>
    </row>
    <row r="4" spans="1:21" ht="14.25" customHeight="1">
      <c r="A4" s="60"/>
      <c r="B4" s="1329" t="s">
        <v>400</v>
      </c>
      <c r="C4" s="1330"/>
      <c r="D4" s="1330"/>
      <c r="E4" s="1330"/>
      <c r="F4" s="1330"/>
      <c r="G4" s="1330"/>
      <c r="H4" s="1330"/>
      <c r="I4" s="1330"/>
      <c r="J4" s="1330"/>
      <c r="K4" s="1330"/>
      <c r="L4" s="1330"/>
      <c r="M4" s="1330"/>
      <c r="N4" s="1330"/>
      <c r="O4" s="1330"/>
      <c r="P4" s="1330"/>
      <c r="Q4" s="1330"/>
      <c r="R4" s="1330"/>
      <c r="S4" s="1330"/>
      <c r="T4" s="1331"/>
      <c r="U4" s="57"/>
    </row>
    <row r="5" spans="1:21" ht="13.5" customHeight="1">
      <c r="A5" s="60"/>
      <c r="B5" s="126"/>
      <c r="C5" s="1330"/>
      <c r="D5" s="1330"/>
      <c r="E5" s="1330"/>
      <c r="F5" s="1330"/>
      <c r="G5" s="1330"/>
      <c r="H5" s="1330"/>
      <c r="I5" s="1330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2"/>
      <c r="U5" s="58"/>
    </row>
    <row r="6" spans="1:21" ht="13.5" customHeight="1">
      <c r="A6" s="60"/>
      <c r="B6" s="126"/>
      <c r="C6" s="1176"/>
      <c r="D6" s="1176"/>
      <c r="E6" s="1176"/>
      <c r="F6" s="1176"/>
      <c r="G6" s="1176"/>
      <c r="H6" s="1176"/>
      <c r="I6" s="1176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2"/>
      <c r="U6" s="58"/>
    </row>
    <row r="7" spans="1:21" ht="16.5" customHeight="1">
      <c r="A7" s="60"/>
      <c r="B7" s="97"/>
      <c r="C7" s="1333" t="s">
        <v>398</v>
      </c>
      <c r="D7" s="1333"/>
      <c r="E7" s="1333"/>
      <c r="F7" s="1333"/>
      <c r="G7" s="1333"/>
      <c r="H7" s="1333"/>
      <c r="I7" s="1333"/>
      <c r="J7" s="99"/>
      <c r="K7" s="1333" t="s">
        <v>399</v>
      </c>
      <c r="L7" s="1333"/>
      <c r="M7" s="1333"/>
      <c r="N7" s="1333"/>
      <c r="O7" s="1333"/>
      <c r="P7" s="1333"/>
      <c r="Q7" s="1333"/>
      <c r="R7" s="1333"/>
      <c r="S7" s="1333"/>
      <c r="T7" s="100"/>
      <c r="U7" s="58"/>
    </row>
    <row r="8" spans="1:21" ht="17.25" customHeight="1" thickBot="1">
      <c r="A8" s="60"/>
      <c r="B8" s="101"/>
      <c r="C8" s="1332" t="s">
        <v>433</v>
      </c>
      <c r="D8" s="1332"/>
      <c r="E8" s="1332"/>
      <c r="F8" s="1332"/>
      <c r="G8" s="1332"/>
      <c r="H8" s="1332"/>
      <c r="I8" s="1332"/>
      <c r="J8" s="99"/>
      <c r="K8" s="1332" t="s">
        <v>401</v>
      </c>
      <c r="L8" s="1332"/>
      <c r="M8" s="1332"/>
      <c r="N8" s="1332"/>
      <c r="O8" s="275"/>
      <c r="P8" s="1332" t="s">
        <v>604</v>
      </c>
      <c r="Q8" s="1332"/>
      <c r="R8" s="1332"/>
      <c r="S8" s="1332"/>
      <c r="T8" s="102"/>
      <c r="U8" s="58"/>
    </row>
    <row r="9" spans="1:21" ht="24" customHeight="1" thickBot="1">
      <c r="A9" s="60"/>
      <c r="B9" s="101"/>
      <c r="C9" s="357" t="s">
        <v>15</v>
      </c>
      <c r="D9" s="356" t="s">
        <v>16</v>
      </c>
      <c r="E9" s="358" t="s">
        <v>12</v>
      </c>
      <c r="F9" s="359" t="s">
        <v>316</v>
      </c>
      <c r="G9" s="357" t="s">
        <v>12</v>
      </c>
      <c r="H9" s="359" t="s">
        <v>17</v>
      </c>
      <c r="I9" s="360" t="s">
        <v>12</v>
      </c>
      <c r="J9" s="361"/>
      <c r="K9" s="357" t="s">
        <v>204</v>
      </c>
      <c r="L9" s="359" t="s">
        <v>318</v>
      </c>
      <c r="M9" s="359" t="s">
        <v>12</v>
      </c>
      <c r="N9" s="362" t="s">
        <v>317</v>
      </c>
      <c r="O9" s="361"/>
      <c r="P9" s="357" t="s">
        <v>204</v>
      </c>
      <c r="Q9" s="359" t="s">
        <v>318</v>
      </c>
      <c r="R9" s="359" t="s">
        <v>12</v>
      </c>
      <c r="S9" s="362" t="s">
        <v>317</v>
      </c>
      <c r="T9" s="493"/>
      <c r="U9" s="58"/>
    </row>
    <row r="10" spans="1:21" ht="18" customHeight="1">
      <c r="A10" s="60"/>
      <c r="B10" s="101"/>
      <c r="C10" s="267" t="s">
        <v>0</v>
      </c>
      <c r="D10" s="268">
        <v>43.235</v>
      </c>
      <c r="E10" s="209">
        <f>(D10/D26)*100</f>
        <v>30.15602876453397</v>
      </c>
      <c r="F10" s="268">
        <v>37.119</v>
      </c>
      <c r="G10" s="209">
        <f>(F10/F26)*100</f>
        <v>33.51239594806883</v>
      </c>
      <c r="H10" s="268">
        <v>21</v>
      </c>
      <c r="I10" s="214">
        <f>(H10/D10)*100</f>
        <v>48.571758991557765</v>
      </c>
      <c r="J10" s="104"/>
      <c r="K10" s="835" t="s">
        <v>1</v>
      </c>
      <c r="L10" s="836">
        <v>7897.958</v>
      </c>
      <c r="M10" s="268">
        <f>(L10/$L$26)*100</f>
        <v>21.277322903061258</v>
      </c>
      <c r="N10" s="836">
        <v>1272.104</v>
      </c>
      <c r="O10" s="276"/>
      <c r="P10" s="1318" t="s">
        <v>1</v>
      </c>
      <c r="Q10" s="836">
        <v>4091.119</v>
      </c>
      <c r="R10" s="268">
        <f aca="true" t="shared" si="0" ref="R10:R26">(Q10/$Q$26)*100</f>
        <v>19.15681827568178</v>
      </c>
      <c r="S10" s="1319">
        <v>602.788</v>
      </c>
      <c r="T10" s="105"/>
      <c r="U10" s="58"/>
    </row>
    <row r="11" spans="1:21" ht="18" customHeight="1">
      <c r="A11" s="60"/>
      <c r="B11" s="101"/>
      <c r="C11" s="269" t="s">
        <v>170</v>
      </c>
      <c r="D11" s="268">
        <v>27.5</v>
      </c>
      <c r="E11" s="209">
        <f>(D11/D26)*100</f>
        <v>19.181005921699644</v>
      </c>
      <c r="F11" s="270">
        <v>20.205</v>
      </c>
      <c r="G11" s="209">
        <f>(F11/F26)*100</f>
        <v>18.241815785197087</v>
      </c>
      <c r="H11" s="270">
        <v>2.3</v>
      </c>
      <c r="I11" s="214">
        <f aca="true" t="shared" si="1" ref="I11:I26">(H11/D11)*100</f>
        <v>8.363636363636363</v>
      </c>
      <c r="J11" s="104"/>
      <c r="K11" s="837" t="s">
        <v>193</v>
      </c>
      <c r="L11" s="836">
        <v>6551.268</v>
      </c>
      <c r="M11" s="268">
        <f aca="true" t="shared" si="2" ref="M11:M26">(L11/$L$26)*100</f>
        <v>17.649301839854342</v>
      </c>
      <c r="N11" s="836">
        <v>1074.697</v>
      </c>
      <c r="O11" s="276"/>
      <c r="P11" s="1320" t="s">
        <v>193</v>
      </c>
      <c r="Q11" s="836">
        <v>3813.228</v>
      </c>
      <c r="R11" s="268">
        <f t="shared" si="0"/>
        <v>17.855583237676896</v>
      </c>
      <c r="S11" s="1319">
        <v>544.539</v>
      </c>
      <c r="T11" s="107"/>
      <c r="U11" s="58"/>
    </row>
    <row r="12" spans="1:21" ht="18" customHeight="1">
      <c r="A12" s="60"/>
      <c r="B12" s="101"/>
      <c r="C12" s="267" t="s">
        <v>171</v>
      </c>
      <c r="D12" s="268">
        <v>13.5</v>
      </c>
      <c r="E12" s="209">
        <f>(D12/D26)*100</f>
        <v>9.416130179743462</v>
      </c>
      <c r="F12" s="270">
        <v>12.281</v>
      </c>
      <c r="G12" s="209">
        <f>(F12/F26)*100</f>
        <v>11.087737671764684</v>
      </c>
      <c r="H12" s="270">
        <v>1.6</v>
      </c>
      <c r="I12" s="214">
        <f t="shared" si="1"/>
        <v>11.851851851851853</v>
      </c>
      <c r="J12" s="104"/>
      <c r="K12" s="837" t="s">
        <v>194</v>
      </c>
      <c r="L12" s="836">
        <v>3070.582</v>
      </c>
      <c r="M12" s="268">
        <f t="shared" si="2"/>
        <v>8.272235014965595</v>
      </c>
      <c r="N12" s="836">
        <v>565.344</v>
      </c>
      <c r="O12" s="276"/>
      <c r="P12" s="1320" t="s">
        <v>194</v>
      </c>
      <c r="Q12" s="836">
        <v>1727.947</v>
      </c>
      <c r="R12" s="268">
        <f t="shared" si="0"/>
        <v>8.091176685158631</v>
      </c>
      <c r="S12" s="1319">
        <v>278.785</v>
      </c>
      <c r="T12" s="107"/>
      <c r="U12" s="58"/>
    </row>
    <row r="13" spans="1:21" ht="18" customHeight="1">
      <c r="A13" s="60"/>
      <c r="B13" s="101"/>
      <c r="C13" s="267" t="s">
        <v>172</v>
      </c>
      <c r="D13" s="268">
        <v>11</v>
      </c>
      <c r="E13" s="209">
        <f>(D13/D26)*100</f>
        <v>7.672402368679858</v>
      </c>
      <c r="F13" s="270">
        <v>6.646</v>
      </c>
      <c r="G13" s="209">
        <f>(F13/F26)*100</f>
        <v>6.000252794279627</v>
      </c>
      <c r="H13" s="270">
        <v>4.17</v>
      </c>
      <c r="I13" s="214">
        <f t="shared" si="1"/>
        <v>37.90909090909091</v>
      </c>
      <c r="J13" s="104"/>
      <c r="K13" s="837" t="s">
        <v>196</v>
      </c>
      <c r="L13" s="836">
        <v>2527.114</v>
      </c>
      <c r="M13" s="268">
        <f t="shared" si="2"/>
        <v>6.808116805742288</v>
      </c>
      <c r="N13" s="836">
        <v>490.754</v>
      </c>
      <c r="O13" s="276"/>
      <c r="P13" s="1320" t="s">
        <v>196</v>
      </c>
      <c r="Q13" s="836">
        <v>1660.332</v>
      </c>
      <c r="R13" s="268">
        <f t="shared" si="0"/>
        <v>7.774566909762165</v>
      </c>
      <c r="S13" s="1319">
        <v>286.57</v>
      </c>
      <c r="T13" s="107"/>
      <c r="U13" s="58"/>
    </row>
    <row r="14" spans="1:21" ht="18" customHeight="1">
      <c r="A14" s="60"/>
      <c r="B14" s="101"/>
      <c r="C14" s="267" t="s">
        <v>173</v>
      </c>
      <c r="D14" s="268">
        <v>6.4</v>
      </c>
      <c r="E14" s="209">
        <f>(D14/D26)*100</f>
        <v>4.463943196322827</v>
      </c>
      <c r="F14" s="270">
        <v>2.872</v>
      </c>
      <c r="G14" s="209">
        <f>(F14/F26)*100</f>
        <v>2.5929470395984184</v>
      </c>
      <c r="H14" s="270">
        <v>3.7</v>
      </c>
      <c r="I14" s="214">
        <f t="shared" si="1"/>
        <v>57.8125</v>
      </c>
      <c r="J14" s="104"/>
      <c r="K14" s="837" t="s">
        <v>195</v>
      </c>
      <c r="L14" s="836">
        <v>2291.647</v>
      </c>
      <c r="M14" s="268">
        <f t="shared" si="2"/>
        <v>6.173762027961104</v>
      </c>
      <c r="N14" s="836">
        <v>406.476</v>
      </c>
      <c r="O14" s="276"/>
      <c r="P14" s="1320" t="s">
        <v>625</v>
      </c>
      <c r="Q14" s="836">
        <v>1283.988</v>
      </c>
      <c r="R14" s="268">
        <f t="shared" si="0"/>
        <v>6.012322003871335</v>
      </c>
      <c r="S14" s="1319">
        <v>200.718</v>
      </c>
      <c r="T14" s="107"/>
      <c r="U14" s="58"/>
    </row>
    <row r="15" spans="1:21" ht="18" customHeight="1">
      <c r="A15" s="60"/>
      <c r="B15" s="101"/>
      <c r="C15" s="267" t="s">
        <v>174</v>
      </c>
      <c r="D15" s="268">
        <v>5.8</v>
      </c>
      <c r="E15" s="209">
        <f>(D15/D26)*100</f>
        <v>4.045448521667561</v>
      </c>
      <c r="F15" s="268">
        <v>5.115</v>
      </c>
      <c r="G15" s="209">
        <f>(F15/F26)*100</f>
        <v>4.618009786749969</v>
      </c>
      <c r="H15" s="270">
        <v>2.25</v>
      </c>
      <c r="I15" s="214">
        <f t="shared" si="1"/>
        <v>38.793103448275865</v>
      </c>
      <c r="J15" s="104"/>
      <c r="K15" s="837" t="s">
        <v>199</v>
      </c>
      <c r="L15" s="836">
        <v>1042.9</v>
      </c>
      <c r="M15" s="268">
        <f t="shared" si="2"/>
        <v>2.8096021852233943</v>
      </c>
      <c r="N15" s="836">
        <v>174.02</v>
      </c>
      <c r="O15" s="276"/>
      <c r="P15" s="1320" t="s">
        <v>202</v>
      </c>
      <c r="Q15" s="836">
        <v>591.562</v>
      </c>
      <c r="R15" s="268">
        <f t="shared" si="0"/>
        <v>2.7700112689948306</v>
      </c>
      <c r="S15" s="1319">
        <v>89.794</v>
      </c>
      <c r="T15" s="107"/>
      <c r="U15" s="58"/>
    </row>
    <row r="16" spans="1:22" ht="18" customHeight="1">
      <c r="A16" s="60"/>
      <c r="B16" s="101"/>
      <c r="C16" s="267" t="s">
        <v>176</v>
      </c>
      <c r="D16" s="268">
        <v>5.8</v>
      </c>
      <c r="E16" s="209">
        <f>(D16/D26)*100</f>
        <v>4.045448521667561</v>
      </c>
      <c r="F16" s="270">
        <v>5.02</v>
      </c>
      <c r="G16" s="209">
        <f>(F16/F26)*100</f>
        <v>4.532240299019518</v>
      </c>
      <c r="H16" s="270">
        <v>0.25</v>
      </c>
      <c r="I16" s="214">
        <f t="shared" si="1"/>
        <v>4.310344827586207</v>
      </c>
      <c r="J16" s="104"/>
      <c r="K16" s="837" t="s">
        <v>201</v>
      </c>
      <c r="L16" s="836">
        <v>815.554</v>
      </c>
      <c r="M16" s="268">
        <f t="shared" si="2"/>
        <v>2.197125611820577</v>
      </c>
      <c r="N16" s="836">
        <v>117.195</v>
      </c>
      <c r="O16" s="276"/>
      <c r="P16" s="1320" t="s">
        <v>198</v>
      </c>
      <c r="Q16" s="836">
        <v>539.794</v>
      </c>
      <c r="R16" s="268">
        <f aca="true" t="shared" si="3" ref="R16:R23">(Q17/$Q$26)*100</f>
        <v>2.2333456421636657</v>
      </c>
      <c r="S16" s="1319">
        <v>82.951</v>
      </c>
      <c r="T16" s="107"/>
      <c r="U16" s="58"/>
      <c r="V16" s="51"/>
    </row>
    <row r="17" spans="1:22" ht="18" customHeight="1">
      <c r="A17" s="60"/>
      <c r="B17" s="101"/>
      <c r="C17" s="267" t="s">
        <v>178</v>
      </c>
      <c r="D17" s="268">
        <v>4.8</v>
      </c>
      <c r="E17" s="209">
        <f>(D17/D26)*100</f>
        <v>3.3479573972421197</v>
      </c>
      <c r="F17" s="268">
        <v>3.455</v>
      </c>
      <c r="G17" s="209">
        <f>(F17/F26)*100</f>
        <v>3.1193008432494898</v>
      </c>
      <c r="H17" s="268">
        <v>0.345</v>
      </c>
      <c r="I17" s="214">
        <f t="shared" si="1"/>
        <v>7.187499999999999</v>
      </c>
      <c r="J17" s="104"/>
      <c r="K17" s="837" t="s">
        <v>197</v>
      </c>
      <c r="L17" s="836">
        <v>760.437</v>
      </c>
      <c r="M17" s="268">
        <f t="shared" si="2"/>
        <v>2.0486388502490382</v>
      </c>
      <c r="N17" s="836">
        <v>127.767</v>
      </c>
      <c r="O17" s="276"/>
      <c r="P17" s="1320" t="s">
        <v>294</v>
      </c>
      <c r="Q17" s="836">
        <v>476.952</v>
      </c>
      <c r="R17" s="268">
        <f t="shared" si="3"/>
        <v>2.1518273462252333</v>
      </c>
      <c r="S17" s="1319">
        <v>66.654</v>
      </c>
      <c r="T17" s="107"/>
      <c r="U17" s="58"/>
      <c r="V17" s="51"/>
    </row>
    <row r="18" spans="1:22" ht="18" customHeight="1">
      <c r="A18" s="60"/>
      <c r="B18" s="108"/>
      <c r="C18" s="267" t="s">
        <v>177</v>
      </c>
      <c r="D18" s="268">
        <v>3.9</v>
      </c>
      <c r="E18" s="209">
        <f>(D18/D26)*100</f>
        <v>2.7202153852592224</v>
      </c>
      <c r="F18" s="270">
        <v>2.467</v>
      </c>
      <c r="G18" s="209">
        <f>(F18/F26)*100</f>
        <v>2.2272981708528197</v>
      </c>
      <c r="H18" s="270">
        <v>2.354</v>
      </c>
      <c r="I18" s="214">
        <f t="shared" si="1"/>
        <v>60.35897435897436</v>
      </c>
      <c r="J18" s="104"/>
      <c r="K18" s="837" t="s">
        <v>198</v>
      </c>
      <c r="L18" s="836">
        <v>754.104</v>
      </c>
      <c r="M18" s="268">
        <f t="shared" si="2"/>
        <v>2.03157756859306</v>
      </c>
      <c r="N18" s="836">
        <v>156.465</v>
      </c>
      <c r="O18" s="276"/>
      <c r="P18" s="1320" t="s">
        <v>201</v>
      </c>
      <c r="Q18" s="836">
        <v>459.543</v>
      </c>
      <c r="R18" s="268">
        <f t="shared" si="3"/>
        <v>2.0810180136282446</v>
      </c>
      <c r="S18" s="1319">
        <v>61.834</v>
      </c>
      <c r="T18" s="109"/>
      <c r="U18" s="58"/>
      <c r="V18" s="51"/>
    </row>
    <row r="19" spans="1:22" ht="18" customHeight="1">
      <c r="A19" s="60"/>
      <c r="B19" s="108"/>
      <c r="C19" s="267" t="s">
        <v>179</v>
      </c>
      <c r="D19" s="268">
        <v>3.4</v>
      </c>
      <c r="E19" s="209">
        <f>(D19/D26)*100</f>
        <v>2.3714698230465014</v>
      </c>
      <c r="F19" s="270">
        <v>2.943</v>
      </c>
      <c r="G19" s="209">
        <f>(F19/F26)*100</f>
        <v>2.6570484462180173</v>
      </c>
      <c r="H19" s="270">
        <v>0.34</v>
      </c>
      <c r="I19" s="214">
        <f t="shared" si="1"/>
        <v>10</v>
      </c>
      <c r="J19" s="104"/>
      <c r="K19" s="837" t="s">
        <v>177</v>
      </c>
      <c r="L19" s="836">
        <v>749.663</v>
      </c>
      <c r="M19" s="268">
        <f t="shared" si="2"/>
        <v>2.0196133886097662</v>
      </c>
      <c r="N19" s="836">
        <v>92.383</v>
      </c>
      <c r="O19" s="276"/>
      <c r="P19" s="1320" t="s">
        <v>200</v>
      </c>
      <c r="Q19" s="836">
        <v>444.421</v>
      </c>
      <c r="R19" s="268">
        <f t="shared" si="3"/>
        <v>2.0524077092923365</v>
      </c>
      <c r="S19" s="1319">
        <v>62.074</v>
      </c>
      <c r="T19" s="109"/>
      <c r="U19" s="57"/>
      <c r="V19" s="51"/>
    </row>
    <row r="20" spans="1:22" ht="18" customHeight="1">
      <c r="A20" s="60"/>
      <c r="B20" s="108"/>
      <c r="C20" s="267" t="s">
        <v>175</v>
      </c>
      <c r="D20" s="268">
        <v>3.2</v>
      </c>
      <c r="E20" s="209">
        <f>(D20/D26)*100</f>
        <v>2.2319715981614134</v>
      </c>
      <c r="F20" s="270">
        <v>2.443</v>
      </c>
      <c r="G20" s="209">
        <f>(F20/F26)*100</f>
        <v>2.205630089741969</v>
      </c>
      <c r="H20" s="270">
        <v>0.3</v>
      </c>
      <c r="I20" s="214">
        <f t="shared" si="1"/>
        <v>9.374999999999998</v>
      </c>
      <c r="J20" s="104"/>
      <c r="K20" s="837" t="s">
        <v>294</v>
      </c>
      <c r="L20" s="836">
        <v>731.859</v>
      </c>
      <c r="M20" s="268">
        <f t="shared" si="2"/>
        <v>1.9716489075418624</v>
      </c>
      <c r="N20" s="836">
        <v>118.461</v>
      </c>
      <c r="O20" s="276"/>
      <c r="P20" s="1320" t="s">
        <v>197</v>
      </c>
      <c r="Q20" s="836">
        <v>438.311</v>
      </c>
      <c r="R20" s="268">
        <f t="shared" si="3"/>
        <v>2.1094176037750993</v>
      </c>
      <c r="S20" s="1319">
        <v>68.295</v>
      </c>
      <c r="T20" s="100"/>
      <c r="U20" s="57"/>
      <c r="V20" s="51"/>
    </row>
    <row r="21" spans="1:22" ht="18" customHeight="1">
      <c r="A21" s="60"/>
      <c r="B21" s="108"/>
      <c r="C21" s="267" t="s">
        <v>432</v>
      </c>
      <c r="D21" s="268">
        <v>1.8</v>
      </c>
      <c r="E21" s="209">
        <f>(D21/D26)*100</f>
        <v>1.255484023965795</v>
      </c>
      <c r="F21" s="270">
        <v>1.438</v>
      </c>
      <c r="G21" s="209">
        <f>(F21/F26)*100</f>
        <v>1.2982791932251132</v>
      </c>
      <c r="H21" s="270">
        <v>0.3</v>
      </c>
      <c r="I21" s="214">
        <f t="shared" si="1"/>
        <v>16.666666666666664</v>
      </c>
      <c r="J21" s="104"/>
      <c r="K21" s="837" t="s">
        <v>396</v>
      </c>
      <c r="L21" s="836">
        <v>618.127</v>
      </c>
      <c r="M21" s="268">
        <f t="shared" si="2"/>
        <v>1.6652516731667282</v>
      </c>
      <c r="N21" s="836">
        <v>80.628</v>
      </c>
      <c r="O21" s="276"/>
      <c r="P21" s="1320" t="s">
        <v>626</v>
      </c>
      <c r="Q21" s="836">
        <v>450.486</v>
      </c>
      <c r="R21" s="268">
        <f t="shared" si="3"/>
        <v>1.8038071090472154</v>
      </c>
      <c r="S21" s="1319">
        <v>54.77</v>
      </c>
      <c r="T21" s="100"/>
      <c r="U21" s="57"/>
      <c r="V21" s="51"/>
    </row>
    <row r="22" spans="1:22" ht="18" customHeight="1">
      <c r="A22" s="60"/>
      <c r="B22" s="108"/>
      <c r="C22" s="267" t="s">
        <v>182</v>
      </c>
      <c r="D22" s="268">
        <v>1.4925</v>
      </c>
      <c r="E22" s="209">
        <f>(D22/D26)*100</f>
        <v>1.0410055032049716</v>
      </c>
      <c r="F22" s="270">
        <v>1.133</v>
      </c>
      <c r="G22" s="209">
        <f>(F22/F26)*100</f>
        <v>1.0229139957747242</v>
      </c>
      <c r="H22" s="270">
        <v>0.2</v>
      </c>
      <c r="I22" s="214">
        <f t="shared" si="1"/>
        <v>13.400335008375212</v>
      </c>
      <c r="J22" s="104"/>
      <c r="K22" s="837" t="s">
        <v>200</v>
      </c>
      <c r="L22" s="836">
        <v>607.807</v>
      </c>
      <c r="M22" s="268">
        <f t="shared" si="2"/>
        <v>1.637449300406631</v>
      </c>
      <c r="N22" s="836">
        <v>98.738</v>
      </c>
      <c r="O22" s="276"/>
      <c r="P22" s="1320" t="s">
        <v>199</v>
      </c>
      <c r="Q22" s="836">
        <v>385.22</v>
      </c>
      <c r="R22" s="268">
        <f t="shared" si="3"/>
        <v>1.632079727506284</v>
      </c>
      <c r="S22" s="1319">
        <v>68.744</v>
      </c>
      <c r="T22" s="100"/>
      <c r="U22" s="57"/>
      <c r="V22" s="51"/>
    </row>
    <row r="23" spans="1:22" ht="18" customHeight="1">
      <c r="A23" s="60"/>
      <c r="B23" s="108"/>
      <c r="C23" s="267" t="s">
        <v>435</v>
      </c>
      <c r="D23" s="268">
        <v>0.833</v>
      </c>
      <c r="E23" s="209">
        <f>(D23/D26)*100</f>
        <v>0.5810101066463929</v>
      </c>
      <c r="F23" s="268">
        <v>0.697</v>
      </c>
      <c r="G23" s="209">
        <f>(F23/F26)*100</f>
        <v>0.6292771889276105</v>
      </c>
      <c r="H23" s="270">
        <v>0.05</v>
      </c>
      <c r="I23" s="214">
        <f t="shared" si="1"/>
        <v>6.002400960384154</v>
      </c>
      <c r="J23" s="104"/>
      <c r="K23" s="837" t="s">
        <v>303</v>
      </c>
      <c r="L23" s="836">
        <v>540.077</v>
      </c>
      <c r="M23" s="268">
        <f t="shared" si="2"/>
        <v>1.4549827590266515</v>
      </c>
      <c r="N23" s="836">
        <v>100.363</v>
      </c>
      <c r="O23" s="276"/>
      <c r="P23" s="1320" t="s">
        <v>303</v>
      </c>
      <c r="Q23" s="836">
        <v>348.546</v>
      </c>
      <c r="R23" s="268">
        <f t="shared" si="3"/>
        <v>1.6184488607433003</v>
      </c>
      <c r="S23" s="1319">
        <v>55.083</v>
      </c>
      <c r="T23" s="100"/>
      <c r="U23" s="57"/>
      <c r="V23" s="51"/>
    </row>
    <row r="24" spans="1:22" ht="18" customHeight="1">
      <c r="A24" s="60"/>
      <c r="B24" s="108"/>
      <c r="C24" s="267" t="s">
        <v>434</v>
      </c>
      <c r="D24" s="268">
        <v>0.7</v>
      </c>
      <c r="E24" s="209">
        <f>(D24/D26)*100</f>
        <v>0.4882437870978091</v>
      </c>
      <c r="F24" s="270">
        <v>1.089</v>
      </c>
      <c r="G24" s="209">
        <f>(F24/F26)*100</f>
        <v>0.9831891804048319</v>
      </c>
      <c r="H24" s="270">
        <v>0.155</v>
      </c>
      <c r="I24" s="214">
        <f t="shared" si="1"/>
        <v>22.142857142857146</v>
      </c>
      <c r="J24" s="104"/>
      <c r="K24" s="837" t="s">
        <v>397</v>
      </c>
      <c r="L24" s="836">
        <v>438.037</v>
      </c>
      <c r="M24" s="268">
        <f t="shared" si="2"/>
        <v>1.1800841043328216</v>
      </c>
      <c r="N24" s="836">
        <v>72.904</v>
      </c>
      <c r="O24" s="276"/>
      <c r="P24" s="1320" t="s">
        <v>627</v>
      </c>
      <c r="Q24" s="836">
        <v>345.635</v>
      </c>
      <c r="R24" s="268">
        <f>(Q24/$Q$26)*100</f>
        <v>1.6184488607433003</v>
      </c>
      <c r="S24" s="1319">
        <v>54.089</v>
      </c>
      <c r="T24" s="100"/>
      <c r="U24" s="57"/>
      <c r="V24" s="51"/>
    </row>
    <row r="25" spans="1:22" ht="16.5" customHeight="1" thickBot="1">
      <c r="A25" s="60"/>
      <c r="B25" s="108"/>
      <c r="C25" s="271" t="s">
        <v>191</v>
      </c>
      <c r="D25" s="272">
        <f>D26-SUM(D10:D24)</f>
        <v>10.010500000000008</v>
      </c>
      <c r="E25" s="210">
        <f>(D25/D26)*100</f>
        <v>6.982234901060889</v>
      </c>
      <c r="F25" s="272">
        <f>F26-SUM(F10:F24)</f>
        <v>5.839000000000013</v>
      </c>
      <c r="G25" s="210">
        <f>(F25/F26)*100</f>
        <v>5.271663566927296</v>
      </c>
      <c r="H25" s="272">
        <f>H26-SUM(H10:H24)</f>
        <v>8.719999999999999</v>
      </c>
      <c r="I25" s="781">
        <f t="shared" si="1"/>
        <v>87.1085360371609</v>
      </c>
      <c r="J25" s="104"/>
      <c r="K25" s="1145" t="s">
        <v>14</v>
      </c>
      <c r="L25" s="838">
        <v>7722</v>
      </c>
      <c r="M25" s="272">
        <f t="shared" si="2"/>
        <v>20.803287059444862</v>
      </c>
      <c r="N25" s="836">
        <v>1210.355</v>
      </c>
      <c r="O25" s="276"/>
      <c r="P25" s="1321" t="s">
        <v>14</v>
      </c>
      <c r="Q25" s="836">
        <f>Q26-SUM(Q10:Q24)</f>
        <v>4298.858000000004</v>
      </c>
      <c r="R25" s="272">
        <f t="shared" si="0"/>
        <v>20.12956394056513</v>
      </c>
      <c r="S25" s="1322">
        <f>S26-SUM(S10:S24)</f>
        <v>614.9119999999998</v>
      </c>
      <c r="T25" s="100"/>
      <c r="U25" s="57"/>
      <c r="V25" s="51"/>
    </row>
    <row r="26" spans="1:22" ht="18" customHeight="1" thickBot="1">
      <c r="A26" s="60"/>
      <c r="B26" s="108"/>
      <c r="C26" s="329" t="s">
        <v>115</v>
      </c>
      <c r="D26" s="330">
        <v>143.371</v>
      </c>
      <c r="E26" s="331">
        <f>SUM(E10:E25)</f>
        <v>100.00000000000001</v>
      </c>
      <c r="F26" s="330">
        <v>110.762</v>
      </c>
      <c r="G26" s="331">
        <f>SUM(G10:G25)</f>
        <v>100.00000000000003</v>
      </c>
      <c r="H26" s="332">
        <v>48.034</v>
      </c>
      <c r="I26" s="782">
        <f t="shared" si="1"/>
        <v>33.50328867065166</v>
      </c>
      <c r="J26" s="110"/>
      <c r="K26" s="326" t="s">
        <v>115</v>
      </c>
      <c r="L26" s="539">
        <f>SUM(L10:L25)</f>
        <v>37119.134000000005</v>
      </c>
      <c r="M26" s="839">
        <f t="shared" si="2"/>
        <v>100</v>
      </c>
      <c r="N26" s="328">
        <f>SUM(N10:N25)</f>
        <v>6158.654</v>
      </c>
      <c r="O26" s="494"/>
      <c r="P26" s="1323" t="s">
        <v>115</v>
      </c>
      <c r="Q26" s="539">
        <v>21355.942</v>
      </c>
      <c r="R26" s="327">
        <f t="shared" si="0"/>
        <v>100</v>
      </c>
      <c r="S26" s="328">
        <v>3192.6</v>
      </c>
      <c r="T26" s="100"/>
      <c r="U26" s="57"/>
      <c r="V26" s="51"/>
    </row>
    <row r="27" spans="1:22" ht="16.5" customHeight="1">
      <c r="A27" s="57"/>
      <c r="B27" s="111"/>
      <c r="C27" s="495" t="s">
        <v>192</v>
      </c>
      <c r="D27" s="113"/>
      <c r="E27" s="113"/>
      <c r="F27" s="113"/>
      <c r="G27" s="113"/>
      <c r="H27" s="113"/>
      <c r="I27" s="113"/>
      <c r="J27" s="113"/>
      <c r="K27" s="496" t="s">
        <v>222</v>
      </c>
      <c r="L27" s="496"/>
      <c r="M27" s="496"/>
      <c r="N27" s="496"/>
      <c r="O27" s="497"/>
      <c r="P27" s="496" t="s">
        <v>222</v>
      </c>
      <c r="Q27" s="497"/>
      <c r="R27" s="497"/>
      <c r="S27" s="277">
        <f ca="1">NOW()</f>
        <v>42626.37860671296</v>
      </c>
      <c r="T27" s="131"/>
      <c r="U27" s="57"/>
      <c r="V27" s="51"/>
    </row>
    <row r="28" spans="1:2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1"/>
    </row>
  </sheetData>
  <sheetProtection/>
  <mergeCells count="8">
    <mergeCell ref="A1:U1"/>
    <mergeCell ref="B4:T4"/>
    <mergeCell ref="K8:N8"/>
    <mergeCell ref="C7:I7"/>
    <mergeCell ref="C8:I8"/>
    <mergeCell ref="P8:S8"/>
    <mergeCell ref="C5:I5"/>
    <mergeCell ref="K7:S7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2" width="2.7109375" style="0" customWidth="1"/>
    <col min="3" max="3" width="10.57421875" style="0" customWidth="1"/>
    <col min="4" max="5" width="11.57421875" style="0" bestFit="1" customWidth="1"/>
    <col min="6" max="6" width="7.00390625" style="0" customWidth="1"/>
    <col min="7" max="8" width="8.7109375" style="0" bestFit="1" customWidth="1"/>
    <col min="9" max="9" width="7.57421875" style="0" bestFit="1" customWidth="1"/>
    <col min="10" max="10" width="2.7109375" style="0" customWidth="1"/>
    <col min="11" max="11" width="11.421875" style="0" bestFit="1" customWidth="1"/>
    <col min="12" max="12" width="10.140625" style="0" bestFit="1" customWidth="1"/>
    <col min="13" max="13" width="11.57421875" style="0" bestFit="1" customWidth="1"/>
    <col min="14" max="14" width="14.28125" style="0" customWidth="1"/>
    <col min="15" max="15" width="8.140625" style="0" customWidth="1"/>
    <col min="16" max="17" width="2.7109375" style="0" customWidth="1"/>
  </cols>
  <sheetData>
    <row r="1" spans="1:17" ht="15" customHeight="1">
      <c r="A1" s="1334" t="s">
        <v>404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</row>
    <row r="2" spans="1:17" ht="15.75" customHeight="1">
      <c r="A2" s="58"/>
      <c r="B2" s="776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8"/>
      <c r="Q2" s="58"/>
    </row>
    <row r="3" spans="1:17" ht="15.75" customHeight="1">
      <c r="A3" s="58"/>
      <c r="B3" s="1329" t="s">
        <v>395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1"/>
      <c r="Q3" s="58"/>
    </row>
    <row r="4" spans="1:17" ht="15.75" customHeight="1">
      <c r="A4" s="58"/>
      <c r="B4" s="1175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7"/>
      <c r="Q4" s="58"/>
    </row>
    <row r="5" spans="1:17" ht="15.75" customHeight="1" thickBot="1">
      <c r="A5" s="58"/>
      <c r="B5" s="352"/>
      <c r="C5" s="784" t="s">
        <v>466</v>
      </c>
      <c r="D5" s="780"/>
      <c r="E5" s="780"/>
      <c r="F5" s="780"/>
      <c r="G5" s="780"/>
      <c r="H5" s="780"/>
      <c r="I5" s="780"/>
      <c r="J5" s="353"/>
      <c r="K5" s="137" t="s">
        <v>463</v>
      </c>
      <c r="L5" s="780"/>
      <c r="M5" s="780"/>
      <c r="N5" s="780"/>
      <c r="O5" s="780"/>
      <c r="P5" s="354"/>
      <c r="Q5" s="58"/>
    </row>
    <row r="6" spans="1:17" ht="18" customHeight="1">
      <c r="A6" s="58"/>
      <c r="B6" s="283"/>
      <c r="C6" s="371" t="s">
        <v>211</v>
      </c>
      <c r="D6" s="1337" t="s">
        <v>271</v>
      </c>
      <c r="E6" s="1338"/>
      <c r="F6" s="1339"/>
      <c r="G6" s="1337" t="s">
        <v>272</v>
      </c>
      <c r="H6" s="1338"/>
      <c r="I6" s="1338"/>
      <c r="J6" s="133"/>
      <c r="K6" s="371" t="s">
        <v>273</v>
      </c>
      <c r="L6" s="372" t="s">
        <v>266</v>
      </c>
      <c r="M6" s="372" t="s">
        <v>267</v>
      </c>
      <c r="N6" s="372" t="s">
        <v>268</v>
      </c>
      <c r="O6" s="1340" t="s">
        <v>12</v>
      </c>
      <c r="P6" s="106"/>
      <c r="Q6" s="58"/>
    </row>
    <row r="7" spans="1:17" ht="16.5" customHeight="1" thickBot="1">
      <c r="A7" s="58"/>
      <c r="B7" s="283"/>
      <c r="C7" s="373" t="s">
        <v>210</v>
      </c>
      <c r="D7" s="374">
        <v>2015</v>
      </c>
      <c r="E7" s="375">
        <v>2016</v>
      </c>
      <c r="F7" s="376" t="s">
        <v>12</v>
      </c>
      <c r="G7" s="377">
        <v>2015</v>
      </c>
      <c r="H7" s="375">
        <v>2016</v>
      </c>
      <c r="I7" s="378" t="s">
        <v>12</v>
      </c>
      <c r="J7" s="133"/>
      <c r="K7" s="373" t="s">
        <v>210</v>
      </c>
      <c r="L7" s="376" t="s">
        <v>269</v>
      </c>
      <c r="M7" s="376" t="s">
        <v>270</v>
      </c>
      <c r="N7" s="376" t="s">
        <v>274</v>
      </c>
      <c r="O7" s="1341"/>
      <c r="P7" s="106"/>
      <c r="Q7" s="58"/>
    </row>
    <row r="8" spans="1:17" ht="16.5" customHeight="1">
      <c r="A8" s="58"/>
      <c r="B8" s="283"/>
      <c r="C8" s="198" t="s">
        <v>3</v>
      </c>
      <c r="D8" s="199">
        <v>87657</v>
      </c>
      <c r="E8" s="200">
        <v>87657</v>
      </c>
      <c r="F8" s="207">
        <f>(E8/D8-1)*100</f>
        <v>0</v>
      </c>
      <c r="G8" s="319">
        <v>1723.9</v>
      </c>
      <c r="H8" s="316">
        <v>1626.9</v>
      </c>
      <c r="I8" s="323">
        <f>(H8/G8-1)*100</f>
        <v>-5.626776495156327</v>
      </c>
      <c r="J8" s="99"/>
      <c r="K8" s="198" t="s">
        <v>3</v>
      </c>
      <c r="L8" s="199">
        <v>804</v>
      </c>
      <c r="M8" s="199">
        <v>8911.552</v>
      </c>
      <c r="N8" s="199">
        <v>3713</v>
      </c>
      <c r="O8" s="201">
        <f>(N8/E8)*100</f>
        <v>4.235828285248183</v>
      </c>
      <c r="P8" s="106"/>
      <c r="Q8" s="58"/>
    </row>
    <row r="9" spans="1:17" ht="15.75">
      <c r="A9" s="58"/>
      <c r="B9" s="283"/>
      <c r="C9" s="198" t="s">
        <v>4</v>
      </c>
      <c r="D9" s="199">
        <v>1243</v>
      </c>
      <c r="E9" s="199">
        <v>667</v>
      </c>
      <c r="F9" s="207">
        <f aca="true" t="shared" si="0" ref="F9:F26">(E9/D9-1)*100</f>
        <v>-46.33950120675785</v>
      </c>
      <c r="G9" s="320">
        <v>16.6</v>
      </c>
      <c r="H9" s="316">
        <v>11.3</v>
      </c>
      <c r="I9" s="324">
        <f aca="true" t="shared" si="1" ref="I9:I26">(H9/G9-1)*100</f>
        <v>-31.92771084337349</v>
      </c>
      <c r="J9" s="99"/>
      <c r="K9" s="198" t="s">
        <v>464</v>
      </c>
      <c r="L9" s="199">
        <v>10</v>
      </c>
      <c r="M9" s="199">
        <v>205</v>
      </c>
      <c r="N9" s="199">
        <v>42</v>
      </c>
      <c r="O9" s="201">
        <f>(N9/E9)*100</f>
        <v>6.296851574212893</v>
      </c>
      <c r="P9" s="106"/>
      <c r="Q9" s="58"/>
    </row>
    <row r="10" spans="1:17" ht="21" customHeight="1">
      <c r="A10" s="58"/>
      <c r="B10" s="283"/>
      <c r="C10" s="198" t="s">
        <v>5</v>
      </c>
      <c r="D10" s="199">
        <v>138678</v>
      </c>
      <c r="E10" s="199">
        <v>141923.8</v>
      </c>
      <c r="F10" s="207">
        <f t="shared" si="0"/>
        <v>2.3405298605402303</v>
      </c>
      <c r="G10" s="320">
        <v>2345.7</v>
      </c>
      <c r="H10" s="316">
        <v>2638.9</v>
      </c>
      <c r="I10" s="324">
        <f t="shared" si="1"/>
        <v>12.499467110031137</v>
      </c>
      <c r="J10" s="99"/>
      <c r="K10" s="198" t="s">
        <v>5</v>
      </c>
      <c r="L10" s="199">
        <v>1092</v>
      </c>
      <c r="M10" s="199">
        <v>180046.508</v>
      </c>
      <c r="N10" s="199">
        <v>41958</v>
      </c>
      <c r="O10" s="201">
        <f>(N10/E10)*100</f>
        <v>29.563751816115413</v>
      </c>
      <c r="P10" s="106"/>
      <c r="Q10" s="58"/>
    </row>
    <row r="11" spans="1:17" ht="16.5" customHeight="1">
      <c r="A11" s="58"/>
      <c r="B11" s="283"/>
      <c r="C11" s="197" t="s">
        <v>212</v>
      </c>
      <c r="D11" s="215">
        <v>9129</v>
      </c>
      <c r="E11" s="215">
        <v>10000</v>
      </c>
      <c r="F11" s="209">
        <f t="shared" si="0"/>
        <v>9.541023113155877</v>
      </c>
      <c r="G11" s="273">
        <v>337.8</v>
      </c>
      <c r="H11" s="274">
        <v>340</v>
      </c>
      <c r="I11" s="212">
        <f t="shared" si="1"/>
        <v>0.6512729425695696</v>
      </c>
      <c r="J11" s="99"/>
      <c r="K11" s="198" t="s">
        <v>9</v>
      </c>
      <c r="L11" s="199">
        <v>20</v>
      </c>
      <c r="M11" s="199">
        <v>565.178</v>
      </c>
      <c r="N11" s="199">
        <v>199</v>
      </c>
      <c r="O11" s="201">
        <f>(N11/E14)*100</f>
        <v>1.4449607900087134</v>
      </c>
      <c r="P11" s="106"/>
      <c r="Q11" s="58"/>
    </row>
    <row r="12" spans="1:17" ht="16.5" customHeight="1">
      <c r="A12" s="58"/>
      <c r="B12" s="283"/>
      <c r="C12" s="197" t="s">
        <v>213</v>
      </c>
      <c r="D12" s="215">
        <v>94321</v>
      </c>
      <c r="E12" s="215">
        <v>93173</v>
      </c>
      <c r="F12" s="209">
        <f t="shared" si="0"/>
        <v>-1.2171202595392283</v>
      </c>
      <c r="G12" s="273">
        <v>824.3</v>
      </c>
      <c r="H12" s="274">
        <v>996.9</v>
      </c>
      <c r="I12" s="212">
        <f t="shared" si="1"/>
        <v>20.93897852723523</v>
      </c>
      <c r="J12" s="99"/>
      <c r="K12" s="198" t="s">
        <v>10</v>
      </c>
      <c r="L12" s="199">
        <v>14</v>
      </c>
      <c r="M12" s="199">
        <v>13881.455</v>
      </c>
      <c r="N12" s="199">
        <v>1516</v>
      </c>
      <c r="O12" s="201">
        <f>(N12/E15)*100</f>
        <v>26.219301279833967</v>
      </c>
      <c r="P12" s="106"/>
      <c r="Q12" s="58"/>
    </row>
    <row r="13" spans="1:18" ht="16.5" customHeight="1">
      <c r="A13" s="58"/>
      <c r="B13" s="283"/>
      <c r="C13" s="197" t="s">
        <v>214</v>
      </c>
      <c r="D13" s="215">
        <v>35228</v>
      </c>
      <c r="E13" s="215">
        <v>38750.8</v>
      </c>
      <c r="F13" s="209">
        <f t="shared" si="0"/>
        <v>10.000000000000009</v>
      </c>
      <c r="G13" s="273">
        <v>1183.6</v>
      </c>
      <c r="H13" s="274">
        <v>1302</v>
      </c>
      <c r="I13" s="212">
        <f t="shared" si="1"/>
        <v>10.003379520108147</v>
      </c>
      <c r="J13" s="99"/>
      <c r="K13" s="198" t="s">
        <v>7</v>
      </c>
      <c r="L13" s="199">
        <v>57721</v>
      </c>
      <c r="M13" s="199">
        <v>3495475.13</v>
      </c>
      <c r="N13" s="199">
        <v>542350</v>
      </c>
      <c r="O13" s="201">
        <f>(N13/E16)*100</f>
        <v>53.80249252310526</v>
      </c>
      <c r="P13" s="106"/>
      <c r="Q13" s="58"/>
      <c r="R13" s="3"/>
    </row>
    <row r="14" spans="1:17" ht="21" customHeight="1">
      <c r="A14" s="58"/>
      <c r="B14" s="283"/>
      <c r="C14" s="198" t="s">
        <v>9</v>
      </c>
      <c r="D14" s="199">
        <v>20189</v>
      </c>
      <c r="E14" s="199">
        <v>13772</v>
      </c>
      <c r="F14" s="207">
        <f t="shared" si="0"/>
        <v>-31.784635197384713</v>
      </c>
      <c r="G14" s="320">
        <v>127.9</v>
      </c>
      <c r="H14" s="316">
        <v>118.9</v>
      </c>
      <c r="I14" s="324">
        <f t="shared" si="1"/>
        <v>-7.036747458952308</v>
      </c>
      <c r="J14" s="99"/>
      <c r="K14" s="198" t="s">
        <v>29</v>
      </c>
      <c r="L14" s="199">
        <v>25258</v>
      </c>
      <c r="M14" s="199">
        <v>937915.21</v>
      </c>
      <c r="N14" s="199">
        <v>151687</v>
      </c>
      <c r="O14" s="201">
        <f aca="true" t="shared" si="2" ref="O14:O19">(N14/E21)*100</f>
        <v>36.991686521629916</v>
      </c>
      <c r="P14" s="106"/>
      <c r="Q14" s="58"/>
    </row>
    <row r="15" spans="1:17" ht="15.75">
      <c r="A15" s="58"/>
      <c r="B15" s="283"/>
      <c r="C15" s="198" t="s">
        <v>10</v>
      </c>
      <c r="D15" s="199">
        <v>6175</v>
      </c>
      <c r="E15" s="199">
        <v>5782</v>
      </c>
      <c r="F15" s="207">
        <f t="shared" si="0"/>
        <v>-6.364372469635626</v>
      </c>
      <c r="G15" s="320">
        <v>226.2</v>
      </c>
      <c r="H15" s="316">
        <v>223.1</v>
      </c>
      <c r="I15" s="324">
        <f t="shared" si="1"/>
        <v>-1.3704686118479192</v>
      </c>
      <c r="J15" s="99"/>
      <c r="K15" s="198" t="s">
        <v>30</v>
      </c>
      <c r="L15" s="199">
        <v>341</v>
      </c>
      <c r="M15" s="199">
        <v>8382.59</v>
      </c>
      <c r="N15" s="199">
        <v>1908</v>
      </c>
      <c r="O15" s="201">
        <f t="shared" si="2"/>
        <v>14.576012223071046</v>
      </c>
      <c r="P15" s="106"/>
      <c r="Q15" s="58"/>
    </row>
    <row r="16" spans="1:17" ht="21" customHeight="1">
      <c r="A16" s="58"/>
      <c r="B16" s="283"/>
      <c r="C16" s="198" t="s">
        <v>7</v>
      </c>
      <c r="D16" s="199">
        <v>968872</v>
      </c>
      <c r="E16" s="199">
        <v>1008038.8</v>
      </c>
      <c r="F16" s="207">
        <f t="shared" si="0"/>
        <v>4.042515419993564</v>
      </c>
      <c r="G16" s="320">
        <v>22302.9</v>
      </c>
      <c r="H16" s="316">
        <v>28499.8</v>
      </c>
      <c r="I16" s="324">
        <f t="shared" si="1"/>
        <v>27.7851759188267</v>
      </c>
      <c r="J16" s="99"/>
      <c r="K16" s="198" t="s">
        <v>8</v>
      </c>
      <c r="L16" s="199">
        <v>5493</v>
      </c>
      <c r="M16" s="199">
        <v>697942.328</v>
      </c>
      <c r="N16" s="199">
        <v>106881</v>
      </c>
      <c r="O16" s="201">
        <f t="shared" si="2"/>
        <v>53.39324697642587</v>
      </c>
      <c r="P16" s="106"/>
      <c r="Q16" s="58"/>
    </row>
    <row r="17" spans="1:18" ht="16.5" customHeight="1">
      <c r="A17" s="58"/>
      <c r="B17" s="283"/>
      <c r="C17" s="197" t="s">
        <v>262</v>
      </c>
      <c r="D17" s="215">
        <v>478056</v>
      </c>
      <c r="E17" s="215">
        <v>523041.6</v>
      </c>
      <c r="F17" s="209">
        <f t="shared" si="0"/>
        <v>9.410110949344851</v>
      </c>
      <c r="G17" s="273">
        <v>10808.3</v>
      </c>
      <c r="H17" s="274">
        <v>14939.7</v>
      </c>
      <c r="I17" s="212">
        <f t="shared" si="1"/>
        <v>38.22432760008514</v>
      </c>
      <c r="J17" s="99"/>
      <c r="K17" s="198" t="s">
        <v>6</v>
      </c>
      <c r="L17" s="199">
        <v>1720</v>
      </c>
      <c r="M17" s="199">
        <v>54996.951</v>
      </c>
      <c r="N17" s="199">
        <v>9529</v>
      </c>
      <c r="O17" s="201">
        <f t="shared" si="2"/>
        <v>20.145877378435518</v>
      </c>
      <c r="P17" s="106"/>
      <c r="Q17" s="58"/>
      <c r="R17" s="114"/>
    </row>
    <row r="18" spans="1:17" ht="16.5" customHeight="1" thickBot="1">
      <c r="A18" s="58"/>
      <c r="B18" s="283"/>
      <c r="C18" s="197" t="s">
        <v>263</v>
      </c>
      <c r="D18" s="215">
        <v>170634</v>
      </c>
      <c r="E18" s="215">
        <v>183273.2</v>
      </c>
      <c r="F18" s="209">
        <f t="shared" si="0"/>
        <v>7.407199034190137</v>
      </c>
      <c r="G18" s="273">
        <v>4232.9</v>
      </c>
      <c r="H18" s="274">
        <v>6780.7</v>
      </c>
      <c r="I18" s="212">
        <f t="shared" si="1"/>
        <v>60.19041319190155</v>
      </c>
      <c r="J18" s="99"/>
      <c r="K18" s="202" t="s">
        <v>14</v>
      </c>
      <c r="L18" s="203">
        <v>15</v>
      </c>
      <c r="M18" s="203">
        <v>2006</v>
      </c>
      <c r="N18" s="203">
        <v>359</v>
      </c>
      <c r="O18" s="325">
        <f t="shared" si="2"/>
        <v>2.6416482707873437</v>
      </c>
      <c r="P18" s="106"/>
      <c r="Q18" s="58"/>
    </row>
    <row r="19" spans="1:17" ht="16.5" customHeight="1" thickBot="1">
      <c r="A19" s="58"/>
      <c r="B19" s="283"/>
      <c r="C19" s="197" t="s">
        <v>264</v>
      </c>
      <c r="D19" s="215">
        <v>287340</v>
      </c>
      <c r="E19" s="215">
        <v>269484</v>
      </c>
      <c r="F19" s="209">
        <f t="shared" si="0"/>
        <v>-6.21424096888703</v>
      </c>
      <c r="G19" s="273">
        <v>6609.5</v>
      </c>
      <c r="H19" s="274">
        <v>6145</v>
      </c>
      <c r="I19" s="212">
        <f t="shared" si="1"/>
        <v>-7.027763068310766</v>
      </c>
      <c r="J19" s="99"/>
      <c r="K19" s="204" t="s">
        <v>115</v>
      </c>
      <c r="L19" s="216">
        <f>L8+L9+L10+L11+L12+L13+L14+L15+L16+L17+L18</f>
        <v>92488</v>
      </c>
      <c r="M19" s="216">
        <f>M8+M9+M10+M11+M12+M13+M14+M15+M16+M17+M18</f>
        <v>5400327.902</v>
      </c>
      <c r="N19" s="216">
        <f>SUM(N8:N18)</f>
        <v>860142</v>
      </c>
      <c r="O19" s="213">
        <f t="shared" si="2"/>
        <v>44.290309860495164</v>
      </c>
      <c r="P19" s="106"/>
      <c r="Q19" s="58"/>
    </row>
    <row r="20" spans="1:17" ht="16.5" customHeight="1" thickBot="1">
      <c r="A20" s="58"/>
      <c r="B20" s="283"/>
      <c r="C20" s="197" t="s">
        <v>265</v>
      </c>
      <c r="D20" s="215">
        <v>32842</v>
      </c>
      <c r="E20" s="215">
        <v>32240</v>
      </c>
      <c r="F20" s="209">
        <f t="shared" si="0"/>
        <v>-1.8330186955727412</v>
      </c>
      <c r="G20" s="273">
        <v>652.2</v>
      </c>
      <c r="H20" s="274">
        <v>634.4</v>
      </c>
      <c r="I20" s="212">
        <f t="shared" si="1"/>
        <v>-2.7292241643667725</v>
      </c>
      <c r="J20" s="99"/>
      <c r="K20" s="806"/>
      <c r="L20" s="807"/>
      <c r="M20" s="807"/>
      <c r="N20" s="808"/>
      <c r="O20" s="809"/>
      <c r="P20" s="106"/>
      <c r="Q20" s="58"/>
    </row>
    <row r="21" spans="1:17" ht="21" customHeight="1" thickBot="1">
      <c r="A21" s="58"/>
      <c r="B21" s="283"/>
      <c r="C21" s="198" t="s">
        <v>29</v>
      </c>
      <c r="D21" s="199">
        <v>433242</v>
      </c>
      <c r="E21" s="199">
        <v>410057</v>
      </c>
      <c r="F21" s="207">
        <f t="shared" si="0"/>
        <v>-5.351512549568138</v>
      </c>
      <c r="G21" s="320">
        <v>10700</v>
      </c>
      <c r="H21" s="316">
        <v>9455</v>
      </c>
      <c r="I21" s="324">
        <f t="shared" si="1"/>
        <v>-11.635514018691584</v>
      </c>
      <c r="J21" s="99"/>
      <c r="K21" s="1335" t="s">
        <v>457</v>
      </c>
      <c r="L21" s="1336"/>
      <c r="M21" s="816" t="s">
        <v>266</v>
      </c>
      <c r="N21" s="824" t="s">
        <v>465</v>
      </c>
      <c r="O21" s="810" t="s">
        <v>12</v>
      </c>
      <c r="P21" s="106"/>
      <c r="Q21" s="58"/>
    </row>
    <row r="22" spans="1:17" ht="16.5" customHeight="1">
      <c r="A22" s="58"/>
      <c r="B22" s="283"/>
      <c r="C22" s="198" t="s">
        <v>30</v>
      </c>
      <c r="D22" s="199">
        <v>12538</v>
      </c>
      <c r="E22" s="199">
        <v>13090</v>
      </c>
      <c r="F22" s="207">
        <f t="shared" si="0"/>
        <v>4.402616047216457</v>
      </c>
      <c r="G22" s="320">
        <v>309.6</v>
      </c>
      <c r="H22" s="316">
        <v>326.6</v>
      </c>
      <c r="I22" s="324">
        <f t="shared" si="1"/>
        <v>5.490956072351416</v>
      </c>
      <c r="J22" s="99"/>
      <c r="K22" s="804" t="s">
        <v>458</v>
      </c>
      <c r="L22" s="538"/>
      <c r="M22" s="817">
        <v>10715</v>
      </c>
      <c r="N22" s="820">
        <v>1018023200.2299998</v>
      </c>
      <c r="O22" s="805">
        <f>(N22/N26)*100</f>
        <v>18.851135669274957</v>
      </c>
      <c r="P22" s="106"/>
      <c r="Q22" s="58"/>
    </row>
    <row r="23" spans="1:17" ht="16.5" customHeight="1">
      <c r="A23" s="58"/>
      <c r="B23" s="283"/>
      <c r="C23" s="198" t="s">
        <v>8</v>
      </c>
      <c r="D23" s="199">
        <v>198971</v>
      </c>
      <c r="E23" s="199">
        <v>200177</v>
      </c>
      <c r="F23" s="207">
        <f t="shared" si="0"/>
        <v>0.6061184795774333</v>
      </c>
      <c r="G23" s="320">
        <v>4063.9</v>
      </c>
      <c r="H23" s="316">
        <v>5462.3</v>
      </c>
      <c r="I23" s="324">
        <f t="shared" si="1"/>
        <v>34.41029552892543</v>
      </c>
      <c r="J23" s="99"/>
      <c r="K23" s="804" t="s">
        <v>459</v>
      </c>
      <c r="L23" s="538"/>
      <c r="M23" s="818">
        <v>41338</v>
      </c>
      <c r="N23" s="796">
        <v>785097821.0599998</v>
      </c>
      <c r="O23" s="805">
        <f>(N23/N26)*100</f>
        <v>14.53796488637045</v>
      </c>
      <c r="P23" s="106"/>
      <c r="Q23" s="58"/>
    </row>
    <row r="24" spans="1:17" ht="16.5" customHeight="1">
      <c r="A24" s="58"/>
      <c r="B24" s="283"/>
      <c r="C24" s="198" t="s">
        <v>6</v>
      </c>
      <c r="D24" s="199">
        <v>44500</v>
      </c>
      <c r="E24" s="199">
        <v>47300</v>
      </c>
      <c r="F24" s="207">
        <f t="shared" si="0"/>
        <v>6.292134831460672</v>
      </c>
      <c r="G24" s="320">
        <v>1290</v>
      </c>
      <c r="H24" s="316">
        <v>1116.3</v>
      </c>
      <c r="I24" s="324">
        <f t="shared" si="1"/>
        <v>-13.465116279069766</v>
      </c>
      <c r="J24" s="99"/>
      <c r="K24" s="804" t="s">
        <v>460</v>
      </c>
      <c r="L24" s="814"/>
      <c r="M24" s="796">
        <v>11983</v>
      </c>
      <c r="N24" s="796">
        <v>765784766.35</v>
      </c>
      <c r="O24" s="805">
        <f>(N24/N26)*100</f>
        <v>14.180337462512052</v>
      </c>
      <c r="P24" s="106"/>
      <c r="Q24" s="58"/>
    </row>
    <row r="25" spans="1:17" s="5" customFormat="1" ht="18" customHeight="1" thickBot="1">
      <c r="A25" s="58"/>
      <c r="B25" s="283"/>
      <c r="C25" s="202" t="s">
        <v>209</v>
      </c>
      <c r="D25" s="203">
        <v>10009</v>
      </c>
      <c r="E25" s="203">
        <v>13590</v>
      </c>
      <c r="F25" s="208">
        <f t="shared" si="0"/>
        <v>35.777799980017974</v>
      </c>
      <c r="G25" s="321">
        <v>128.3</v>
      </c>
      <c r="H25" s="317">
        <v>189.4</v>
      </c>
      <c r="I25" s="325">
        <f t="shared" si="1"/>
        <v>47.62275915822292</v>
      </c>
      <c r="J25" s="99"/>
      <c r="K25" s="812" t="s">
        <v>461</v>
      </c>
      <c r="L25" s="815"/>
      <c r="M25" s="819">
        <v>28452</v>
      </c>
      <c r="N25" s="819">
        <v>2831422437.089999</v>
      </c>
      <c r="O25" s="811">
        <f>(N25/N26)*100</f>
        <v>52.43056198184255</v>
      </c>
      <c r="P25" s="106"/>
      <c r="Q25" s="58"/>
    </row>
    <row r="26" spans="1:17" ht="17.25" customHeight="1" thickBot="1">
      <c r="A26" s="58"/>
      <c r="B26" s="283"/>
      <c r="C26" s="204" t="s">
        <v>115</v>
      </c>
      <c r="D26" s="205">
        <f>D8+D9+D10+D14+D15+D16+D21+D22+D23+D24+D25</f>
        <v>1922074</v>
      </c>
      <c r="E26" s="205">
        <f>E8+E9+E10+E14+E15+E16+E21+E22+E23+E24+E25</f>
        <v>1942054.6</v>
      </c>
      <c r="F26" s="211">
        <f t="shared" si="0"/>
        <v>1.0395333374261462</v>
      </c>
      <c r="G26" s="322">
        <f>G8+G9+G10+G14+G15+G16+G21+G22+G23+G24+G25</f>
        <v>43235</v>
      </c>
      <c r="H26" s="318">
        <f>H8+H9+H10+H14+H15+H16+H21+H22+H23+H24+H25</f>
        <v>49668.50000000001</v>
      </c>
      <c r="I26" s="213">
        <f t="shared" si="1"/>
        <v>14.880305308199393</v>
      </c>
      <c r="J26" s="99"/>
      <c r="K26" s="813" t="s">
        <v>462</v>
      </c>
      <c r="L26" s="821"/>
      <c r="M26" s="333">
        <f>SUM(M22:M25)</f>
        <v>92488</v>
      </c>
      <c r="N26" s="822">
        <f>SUM(N22:N25)</f>
        <v>5400328224.729999</v>
      </c>
      <c r="O26" s="823">
        <f>(N26/N26)*100</f>
        <v>100</v>
      </c>
      <c r="P26" s="106"/>
      <c r="Q26" s="57"/>
    </row>
    <row r="27" spans="1:17" ht="15.75">
      <c r="A27" s="57"/>
      <c r="B27" s="284"/>
      <c r="C27" s="495" t="s">
        <v>504</v>
      </c>
      <c r="D27" s="282"/>
      <c r="E27" s="282"/>
      <c r="F27" s="282"/>
      <c r="G27" s="282"/>
      <c r="H27" s="282"/>
      <c r="I27" s="282"/>
      <c r="J27" s="282"/>
      <c r="K27" s="495" t="s">
        <v>456</v>
      </c>
      <c r="L27" s="282"/>
      <c r="M27" s="282"/>
      <c r="N27" s="282"/>
      <c r="O27" s="217">
        <f ca="1">NOW()</f>
        <v>42626.37860671296</v>
      </c>
      <c r="P27" s="131"/>
      <c r="Q27" s="57"/>
    </row>
    <row r="28" spans="1:17" ht="15" customHeight="1">
      <c r="A28" s="57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58"/>
      <c r="Q28" s="57"/>
    </row>
  </sheetData>
  <sheetProtection/>
  <mergeCells count="6">
    <mergeCell ref="A1:Q1"/>
    <mergeCell ref="K21:L21"/>
    <mergeCell ref="B3:P3"/>
    <mergeCell ref="D6:F6"/>
    <mergeCell ref="G6:I6"/>
    <mergeCell ref="O6:O7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2.7109375" style="0" customWidth="1"/>
    <col min="2" max="2" width="11.7109375" style="0" customWidth="1"/>
    <col min="3" max="3" width="12.28125" style="0" customWidth="1"/>
    <col min="4" max="4" width="13.7109375" style="0" customWidth="1"/>
    <col min="5" max="13" width="9.28125" style="0" customWidth="1"/>
    <col min="14" max="14" width="9.7109375" style="0" customWidth="1"/>
    <col min="15" max="15" width="2.7109375" style="0" customWidth="1"/>
  </cols>
  <sheetData>
    <row r="1" spans="1:15" ht="15" customHeight="1">
      <c r="A1" s="1334" t="s">
        <v>405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</row>
    <row r="2" spans="1:15" ht="23.25" customHeight="1">
      <c r="A2" s="60"/>
      <c r="B2" s="1344" t="s">
        <v>35</v>
      </c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6"/>
      <c r="O2" s="146"/>
    </row>
    <row r="3" spans="1:15" ht="13.5" customHeight="1">
      <c r="A3" s="60"/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9"/>
      <c r="O3" s="57"/>
    </row>
    <row r="4" spans="1:15" ht="18" customHeight="1">
      <c r="A4" s="60"/>
      <c r="B4" s="1347" t="s">
        <v>215</v>
      </c>
      <c r="C4" s="1348"/>
      <c r="D4" s="1349"/>
      <c r="E4" s="147">
        <v>2007</v>
      </c>
      <c r="F4" s="147">
        <v>2008</v>
      </c>
      <c r="G4" s="147">
        <v>2009</v>
      </c>
      <c r="H4" s="147">
        <v>2010</v>
      </c>
      <c r="I4" s="147">
        <v>2011</v>
      </c>
      <c r="J4" s="147">
        <v>2012</v>
      </c>
      <c r="K4" s="147">
        <v>2013</v>
      </c>
      <c r="L4" s="147">
        <v>2014</v>
      </c>
      <c r="M4" s="147">
        <v>2015</v>
      </c>
      <c r="N4" s="147">
        <v>2016</v>
      </c>
      <c r="O4" s="58"/>
    </row>
    <row r="5" spans="1:15" ht="18" customHeight="1">
      <c r="A5" s="58"/>
      <c r="B5" s="148" t="s">
        <v>299</v>
      </c>
      <c r="C5" s="149"/>
      <c r="D5" s="171"/>
      <c r="E5" s="150">
        <v>36.07</v>
      </c>
      <c r="F5" s="150">
        <v>45.992</v>
      </c>
      <c r="G5" s="150">
        <v>39.47</v>
      </c>
      <c r="H5" s="150">
        <v>48.095</v>
      </c>
      <c r="I5" s="150">
        <v>43.484</v>
      </c>
      <c r="J5" s="150">
        <v>50.826</v>
      </c>
      <c r="K5" s="150">
        <v>49.152</v>
      </c>
      <c r="L5" s="150">
        <v>45.639</v>
      </c>
      <c r="M5" s="759">
        <v>43.2</v>
      </c>
      <c r="N5" s="759" t="s">
        <v>617</v>
      </c>
      <c r="O5" s="58"/>
    </row>
    <row r="6" spans="1:15" ht="18" customHeight="1">
      <c r="A6" s="58"/>
      <c r="B6" s="151" t="s">
        <v>36</v>
      </c>
      <c r="C6" s="300"/>
      <c r="D6" s="301"/>
      <c r="E6" s="152">
        <v>2.176</v>
      </c>
      <c r="F6" s="152">
        <v>2.169</v>
      </c>
      <c r="G6" s="152">
        <v>2.092</v>
      </c>
      <c r="H6" s="152">
        <v>2.076</v>
      </c>
      <c r="I6" s="152">
        <v>2.056</v>
      </c>
      <c r="J6" s="152">
        <v>2.049</v>
      </c>
      <c r="K6" s="152">
        <v>2.016</v>
      </c>
      <c r="L6" s="802">
        <v>1.946</v>
      </c>
      <c r="M6" s="801">
        <v>1.922</v>
      </c>
      <c r="N6" s="801">
        <v>1.942</v>
      </c>
      <c r="O6" s="58"/>
    </row>
    <row r="7" spans="1:15" ht="18" customHeight="1">
      <c r="A7" s="58"/>
      <c r="B7" s="151" t="s">
        <v>37</v>
      </c>
      <c r="C7" s="300"/>
      <c r="D7" s="301"/>
      <c r="E7" s="152">
        <v>16.57</v>
      </c>
      <c r="F7" s="153">
        <v>21.2</v>
      </c>
      <c r="G7" s="152">
        <v>18.86</v>
      </c>
      <c r="H7" s="152">
        <v>23.16</v>
      </c>
      <c r="I7" s="152">
        <v>21.15</v>
      </c>
      <c r="J7" s="152">
        <v>24.8</v>
      </c>
      <c r="K7" s="152">
        <v>24.31</v>
      </c>
      <c r="L7" s="152">
        <v>23.3</v>
      </c>
      <c r="M7" s="761">
        <v>22.5</v>
      </c>
      <c r="N7" s="761">
        <v>25.58</v>
      </c>
      <c r="O7" s="58"/>
    </row>
    <row r="8" spans="1:15" ht="12" customHeight="1">
      <c r="A8" s="58"/>
      <c r="B8" s="136"/>
      <c r="C8" s="137"/>
      <c r="D8" s="139"/>
      <c r="E8" s="143"/>
      <c r="F8" s="143"/>
      <c r="G8" s="143"/>
      <c r="H8" s="143"/>
      <c r="I8" s="143"/>
      <c r="J8" s="143"/>
      <c r="K8" s="143"/>
      <c r="L8" s="143"/>
      <c r="M8" s="510"/>
      <c r="N8" s="510"/>
      <c r="O8" s="58"/>
    </row>
    <row r="9" spans="1:15" ht="18" customHeight="1">
      <c r="A9" s="58"/>
      <c r="B9" s="156" t="s">
        <v>300</v>
      </c>
      <c r="C9" s="155"/>
      <c r="D9" s="168"/>
      <c r="E9" s="157">
        <v>28.398</v>
      </c>
      <c r="F9" s="157">
        <v>29.727</v>
      </c>
      <c r="G9" s="157">
        <v>30.481</v>
      </c>
      <c r="H9" s="157">
        <v>33.493</v>
      </c>
      <c r="I9" s="157">
        <v>33.61</v>
      </c>
      <c r="J9" s="157">
        <v>28.735</v>
      </c>
      <c r="K9" s="157">
        <v>32.01</v>
      </c>
      <c r="L9" s="157">
        <v>36.735</v>
      </c>
      <c r="M9" s="770">
        <v>37.1</v>
      </c>
      <c r="N9" s="770">
        <v>21.356</v>
      </c>
      <c r="O9" s="58"/>
    </row>
    <row r="10" spans="1:15" ht="18" customHeight="1">
      <c r="A10" s="58"/>
      <c r="B10" s="158" t="s">
        <v>216</v>
      </c>
      <c r="C10" s="300"/>
      <c r="D10" s="301"/>
      <c r="E10" s="159">
        <v>3.891</v>
      </c>
      <c r="F10" s="159">
        <v>4.762</v>
      </c>
      <c r="G10" s="159">
        <v>4.279</v>
      </c>
      <c r="H10" s="159">
        <v>5.764</v>
      </c>
      <c r="I10" s="159">
        <v>8.733</v>
      </c>
      <c r="J10" s="159">
        <v>6.462</v>
      </c>
      <c r="K10" s="159">
        <v>5.275</v>
      </c>
      <c r="L10" s="159">
        <v>6.661</v>
      </c>
      <c r="M10" s="760">
        <v>6.2</v>
      </c>
      <c r="N10" s="760">
        <v>3.193</v>
      </c>
      <c r="O10" s="58"/>
    </row>
    <row r="11" spans="1:15" ht="18" customHeight="1">
      <c r="A11" s="58"/>
      <c r="B11" s="160" t="s">
        <v>217</v>
      </c>
      <c r="C11" s="300"/>
      <c r="D11" s="301"/>
      <c r="E11" s="161">
        <v>137.03</v>
      </c>
      <c r="F11" s="161">
        <v>160.2</v>
      </c>
      <c r="G11" s="161">
        <v>140.38</v>
      </c>
      <c r="H11" s="161">
        <v>172.11</v>
      </c>
      <c r="I11" s="161">
        <v>259.83</v>
      </c>
      <c r="J11" s="161">
        <v>224.9</v>
      </c>
      <c r="K11" s="161">
        <v>164.81</v>
      </c>
      <c r="L11" s="161">
        <v>181.35</v>
      </c>
      <c r="M11" s="761">
        <v>165.92</v>
      </c>
      <c r="N11" s="761">
        <v>149.5</v>
      </c>
      <c r="O11" s="58"/>
    </row>
    <row r="12" spans="1:15" ht="12" customHeight="1">
      <c r="A12" s="58"/>
      <c r="B12" s="136"/>
      <c r="C12" s="137"/>
      <c r="D12" s="139"/>
      <c r="E12" s="143"/>
      <c r="F12" s="143"/>
      <c r="G12" s="143"/>
      <c r="H12" s="143"/>
      <c r="I12" s="143"/>
      <c r="J12" s="143"/>
      <c r="K12" s="143"/>
      <c r="L12" s="143"/>
      <c r="M12" s="511"/>
      <c r="N12" s="511"/>
      <c r="O12" s="58"/>
    </row>
    <row r="13" spans="1:15" ht="18" customHeight="1">
      <c r="A13" s="58"/>
      <c r="B13" s="162" t="s">
        <v>342</v>
      </c>
      <c r="C13" s="155"/>
      <c r="D13" s="168"/>
      <c r="E13" s="154">
        <v>17.12</v>
      </c>
      <c r="F13" s="154">
        <v>17.66</v>
      </c>
      <c r="G13" s="154">
        <v>18.389</v>
      </c>
      <c r="H13" s="154">
        <v>19.13</v>
      </c>
      <c r="I13" s="154">
        <v>19.72</v>
      </c>
      <c r="J13" s="154">
        <v>20.33</v>
      </c>
      <c r="K13" s="154">
        <v>20.08</v>
      </c>
      <c r="L13" s="154">
        <v>20.3</v>
      </c>
      <c r="M13" s="770">
        <v>20.5</v>
      </c>
      <c r="N13" s="770" t="s">
        <v>619</v>
      </c>
      <c r="O13" s="58"/>
    </row>
    <row r="14" spans="1:15" ht="18" customHeight="1">
      <c r="A14" s="58"/>
      <c r="B14" s="151" t="s">
        <v>218</v>
      </c>
      <c r="C14" s="300"/>
      <c r="D14" s="301"/>
      <c r="E14" s="152">
        <v>5.53</v>
      </c>
      <c r="F14" s="152">
        <v>5.64</v>
      </c>
      <c r="G14" s="152">
        <v>5.81</v>
      </c>
      <c r="H14" s="152">
        <v>6.02</v>
      </c>
      <c r="I14" s="152">
        <v>6.1</v>
      </c>
      <c r="J14" s="152">
        <v>6.23</v>
      </c>
      <c r="K14" s="152">
        <v>6.43</v>
      </c>
      <c r="L14" s="152">
        <v>6.43</v>
      </c>
      <c r="M14" s="761">
        <v>6.2</v>
      </c>
      <c r="N14" s="761">
        <v>6.2</v>
      </c>
      <c r="O14" s="58"/>
    </row>
    <row r="15" spans="1:15" ht="12" customHeight="1">
      <c r="A15" s="58"/>
      <c r="B15" s="136"/>
      <c r="C15" s="137"/>
      <c r="D15" s="139"/>
      <c r="E15" s="143"/>
      <c r="F15" s="143"/>
      <c r="G15" s="143"/>
      <c r="H15" s="143"/>
      <c r="I15" s="143"/>
      <c r="J15" s="143"/>
      <c r="K15" s="143"/>
      <c r="L15" s="143"/>
      <c r="M15" s="511"/>
      <c r="N15" s="511"/>
      <c r="O15" s="58"/>
    </row>
    <row r="16" spans="1:15" ht="18" customHeight="1">
      <c r="A16" s="58"/>
      <c r="B16" s="162" t="s">
        <v>219</v>
      </c>
      <c r="C16" s="155"/>
      <c r="D16" s="168"/>
      <c r="E16" s="164">
        <v>18.47</v>
      </c>
      <c r="F16" s="164">
        <v>13.202</v>
      </c>
      <c r="G16" s="164">
        <v>15.766</v>
      </c>
      <c r="H16" s="164">
        <v>11.098</v>
      </c>
      <c r="I16" s="164">
        <v>11.34</v>
      </c>
      <c r="J16" s="164">
        <v>10.063</v>
      </c>
      <c r="K16" s="164">
        <v>15.591</v>
      </c>
      <c r="L16" s="164">
        <v>16.871</v>
      </c>
      <c r="M16" s="771">
        <v>15.94</v>
      </c>
      <c r="N16" s="771" t="s">
        <v>621</v>
      </c>
      <c r="O16" s="57"/>
    </row>
    <row r="17" spans="1:15" ht="12" customHeight="1">
      <c r="A17" s="58"/>
      <c r="B17" s="136"/>
      <c r="C17" s="137"/>
      <c r="D17" s="139"/>
      <c r="E17" s="143"/>
      <c r="F17" s="143"/>
      <c r="G17" s="143"/>
      <c r="H17" s="143"/>
      <c r="I17" s="143"/>
      <c r="J17" s="143"/>
      <c r="K17" s="143"/>
      <c r="L17" s="143"/>
      <c r="M17" s="511"/>
      <c r="N17" s="511"/>
      <c r="O17" s="57"/>
    </row>
    <row r="18" spans="1:15" ht="18" customHeight="1">
      <c r="A18" s="58"/>
      <c r="B18" s="162" t="s">
        <v>220</v>
      </c>
      <c r="C18" s="155"/>
      <c r="D18" s="168"/>
      <c r="E18" s="165">
        <v>2147</v>
      </c>
      <c r="F18" s="165">
        <v>2561</v>
      </c>
      <c r="G18" s="165">
        <v>2843</v>
      </c>
      <c r="H18" s="165">
        <v>2846</v>
      </c>
      <c r="I18" s="165">
        <v>2714</v>
      </c>
      <c r="J18" s="165">
        <v>2894</v>
      </c>
      <c r="K18" s="165">
        <v>3357</v>
      </c>
      <c r="L18" s="165">
        <v>4008</v>
      </c>
      <c r="M18" s="772">
        <f>M19+M20+M21</f>
        <v>4146.1</v>
      </c>
      <c r="N18" s="772">
        <f>N19+N20+N21</f>
        <v>4644.200000000001</v>
      </c>
      <c r="O18" s="57"/>
    </row>
    <row r="19" spans="1:15" ht="18" customHeight="1">
      <c r="A19" s="58"/>
      <c r="B19" s="151" t="s">
        <v>38</v>
      </c>
      <c r="C19" s="300"/>
      <c r="D19" s="301"/>
      <c r="E19" s="163">
        <v>2026</v>
      </c>
      <c r="F19" s="163">
        <v>2441</v>
      </c>
      <c r="G19" s="163">
        <v>2673</v>
      </c>
      <c r="H19" s="163">
        <v>2673</v>
      </c>
      <c r="I19" s="163">
        <v>2539</v>
      </c>
      <c r="J19" s="163">
        <v>2734</v>
      </c>
      <c r="K19" s="163">
        <v>3180</v>
      </c>
      <c r="L19" s="163">
        <v>3825</v>
      </c>
      <c r="M19" s="773">
        <v>4136</v>
      </c>
      <c r="N19" s="773">
        <v>4632</v>
      </c>
      <c r="O19" s="57"/>
    </row>
    <row r="20" spans="1:15" ht="18" customHeight="1">
      <c r="A20" s="58"/>
      <c r="B20" s="151" t="s">
        <v>221</v>
      </c>
      <c r="C20" s="300"/>
      <c r="D20" s="301"/>
      <c r="E20" s="152">
        <v>13</v>
      </c>
      <c r="F20" s="152">
        <v>13</v>
      </c>
      <c r="G20" s="152">
        <v>15</v>
      </c>
      <c r="H20" s="152">
        <v>15</v>
      </c>
      <c r="I20" s="152">
        <v>14</v>
      </c>
      <c r="J20" s="152">
        <v>8</v>
      </c>
      <c r="K20" s="152">
        <v>2.5</v>
      </c>
      <c r="L20" s="152">
        <v>4</v>
      </c>
      <c r="M20" s="761">
        <v>4.5</v>
      </c>
      <c r="N20" s="761">
        <v>1.6</v>
      </c>
      <c r="O20" s="57"/>
    </row>
    <row r="21" spans="1:15" ht="18" customHeight="1">
      <c r="A21" s="58"/>
      <c r="B21" s="151" t="s">
        <v>39</v>
      </c>
      <c r="C21" s="300"/>
      <c r="D21" s="301"/>
      <c r="E21" s="152">
        <v>12</v>
      </c>
      <c r="F21" s="152">
        <v>12</v>
      </c>
      <c r="G21" s="152">
        <v>15.3</v>
      </c>
      <c r="H21" s="152">
        <v>15.3</v>
      </c>
      <c r="I21" s="152">
        <v>15</v>
      </c>
      <c r="J21" s="152">
        <v>12</v>
      </c>
      <c r="K21" s="152">
        <v>0</v>
      </c>
      <c r="L21" s="152">
        <v>6.5</v>
      </c>
      <c r="M21" s="761">
        <v>5.6</v>
      </c>
      <c r="N21" s="761">
        <v>10.6</v>
      </c>
      <c r="O21" s="57"/>
    </row>
    <row r="22" spans="1:15" ht="12" customHeight="1">
      <c r="A22" s="58"/>
      <c r="B22" s="136"/>
      <c r="C22" s="137"/>
      <c r="D22" s="139"/>
      <c r="E22" s="143"/>
      <c r="F22" s="143"/>
      <c r="G22" s="143"/>
      <c r="H22" s="143"/>
      <c r="I22" s="143"/>
      <c r="J22" s="143"/>
      <c r="K22" s="143"/>
      <c r="L22" s="143"/>
      <c r="M22" s="511"/>
      <c r="N22" s="511"/>
      <c r="O22" s="57"/>
    </row>
    <row r="23" spans="1:15" ht="18" customHeight="1">
      <c r="A23" s="58"/>
      <c r="B23" s="162" t="s">
        <v>402</v>
      </c>
      <c r="C23" s="155"/>
      <c r="D23" s="168"/>
      <c r="E23" s="166">
        <v>29.5</v>
      </c>
      <c r="F23" s="166">
        <v>30.46</v>
      </c>
      <c r="G23" s="166">
        <v>31.65</v>
      </c>
      <c r="H23" s="166">
        <v>34.56</v>
      </c>
      <c r="I23" s="166">
        <v>32.14</v>
      </c>
      <c r="J23" s="166">
        <v>25.39</v>
      </c>
      <c r="K23" s="166">
        <v>29.41</v>
      </c>
      <c r="L23" s="166">
        <v>32.22</v>
      </c>
      <c r="M23" s="774">
        <v>30.1</v>
      </c>
      <c r="N23" s="774" t="s">
        <v>622</v>
      </c>
      <c r="O23" s="57"/>
    </row>
    <row r="24" spans="1:15" ht="12" customHeight="1">
      <c r="A24" s="57"/>
      <c r="B24" s="140"/>
      <c r="C24" s="141"/>
      <c r="D24" s="142"/>
      <c r="E24" s="144"/>
      <c r="F24" s="144"/>
      <c r="G24" s="144"/>
      <c r="H24" s="144"/>
      <c r="I24" s="144"/>
      <c r="J24" s="144"/>
      <c r="K24" s="144"/>
      <c r="L24" s="144"/>
      <c r="M24" s="511"/>
      <c r="N24" s="511"/>
      <c r="O24" s="57"/>
    </row>
    <row r="25" spans="1:15" ht="15" customHeight="1">
      <c r="A25" s="57"/>
      <c r="B25" s="162" t="s">
        <v>301</v>
      </c>
      <c r="C25" s="167"/>
      <c r="D25" s="169"/>
      <c r="E25" s="166">
        <v>6.6</v>
      </c>
      <c r="F25" s="166">
        <v>6.59</v>
      </c>
      <c r="G25" s="166">
        <v>6.61</v>
      </c>
      <c r="H25" s="166">
        <v>7.54</v>
      </c>
      <c r="I25" s="166">
        <v>9.23</v>
      </c>
      <c r="J25" s="166">
        <v>6.74</v>
      </c>
      <c r="K25" s="166">
        <v>5.28</v>
      </c>
      <c r="L25" s="166">
        <v>6.89</v>
      </c>
      <c r="M25" s="800">
        <v>7</v>
      </c>
      <c r="N25" s="1300" t="s">
        <v>624</v>
      </c>
      <c r="O25" s="57"/>
    </row>
    <row r="26" spans="1:15" ht="12" customHeight="1">
      <c r="A26" s="57"/>
      <c r="B26" s="140"/>
      <c r="C26" s="141"/>
      <c r="D26" s="142"/>
      <c r="E26" s="144"/>
      <c r="F26" s="144"/>
      <c r="G26" s="144"/>
      <c r="H26" s="144"/>
      <c r="I26" s="144"/>
      <c r="J26" s="144"/>
      <c r="K26" s="144"/>
      <c r="L26" s="144"/>
      <c r="M26" s="512"/>
      <c r="N26" s="512"/>
      <c r="O26" s="57"/>
    </row>
    <row r="27" spans="1:15" ht="12.75" customHeight="1">
      <c r="A27" s="57"/>
      <c r="B27" s="1350" t="s">
        <v>343</v>
      </c>
      <c r="C27" s="1351"/>
      <c r="D27" s="1352"/>
      <c r="E27" s="1356">
        <v>252.43</v>
      </c>
      <c r="F27" s="1342">
        <v>260.37</v>
      </c>
      <c r="G27" s="1342">
        <v>263.2</v>
      </c>
      <c r="H27" s="1342">
        <v>310.91</v>
      </c>
      <c r="I27" s="1342">
        <v>494.95</v>
      </c>
      <c r="J27" s="1342">
        <v>390.03</v>
      </c>
      <c r="K27" s="1342">
        <v>288.93</v>
      </c>
      <c r="L27" s="1342">
        <v>418.61</v>
      </c>
      <c r="M27" s="1358">
        <v>454.04</v>
      </c>
      <c r="N27" s="1358" t="s">
        <v>623</v>
      </c>
      <c r="O27" s="57"/>
    </row>
    <row r="28" spans="1:15" ht="15" customHeight="1">
      <c r="A28" s="57"/>
      <c r="B28" s="1353"/>
      <c r="C28" s="1354"/>
      <c r="D28" s="1355"/>
      <c r="E28" s="1357"/>
      <c r="F28" s="1343"/>
      <c r="G28" s="1343"/>
      <c r="H28" s="1343"/>
      <c r="I28" s="1343"/>
      <c r="J28" s="1343"/>
      <c r="K28" s="1343"/>
      <c r="L28" s="1343"/>
      <c r="M28" s="1359"/>
      <c r="N28" s="1359"/>
      <c r="O28" s="57"/>
    </row>
    <row r="29" spans="1:15" ht="15" customHeight="1">
      <c r="A29" s="57"/>
      <c r="B29" s="170" t="s">
        <v>40</v>
      </c>
      <c r="C29" s="145"/>
      <c r="D29" s="145"/>
      <c r="E29" s="145"/>
      <c r="F29" s="145"/>
      <c r="G29" s="145"/>
      <c r="H29" s="523" t="s">
        <v>618</v>
      </c>
      <c r="I29" s="145"/>
      <c r="J29" s="145"/>
      <c r="K29" s="523" t="s">
        <v>455</v>
      </c>
      <c r="L29" s="145"/>
      <c r="M29" s="145"/>
      <c r="N29" s="145"/>
      <c r="O29" s="57"/>
    </row>
    <row r="30" spans="1:15" ht="12.75" customHeight="1">
      <c r="A30" s="57"/>
      <c r="B30" s="752" t="s">
        <v>534</v>
      </c>
      <c r="C30" s="57"/>
      <c r="D30" s="57"/>
      <c r="E30" s="57"/>
      <c r="F30" s="57"/>
      <c r="G30" s="57"/>
      <c r="H30" s="752" t="s">
        <v>454</v>
      </c>
      <c r="I30" s="57"/>
      <c r="J30" s="57"/>
      <c r="K30" s="523" t="s">
        <v>620</v>
      </c>
      <c r="L30" s="57"/>
      <c r="M30" s="57"/>
      <c r="N30" s="57"/>
      <c r="O30" s="57"/>
    </row>
    <row r="31" ht="13.5" customHeight="1"/>
    <row r="33" ht="12.75" customHeight="1"/>
    <row r="34" ht="12.75" customHeight="1"/>
    <row r="36" ht="12.75" customHeight="1"/>
    <row r="37" ht="13.5" customHeight="1"/>
  </sheetData>
  <sheetProtection/>
  <mergeCells count="14">
    <mergeCell ref="A1:O1"/>
    <mergeCell ref="K27:K28"/>
    <mergeCell ref="L27:L28"/>
    <mergeCell ref="B2:N2"/>
    <mergeCell ref="B4:D4"/>
    <mergeCell ref="B27:D28"/>
    <mergeCell ref="E27:E28"/>
    <mergeCell ref="F27:F28"/>
    <mergeCell ref="G27:G28"/>
    <mergeCell ref="H27:H28"/>
    <mergeCell ref="M27:M28"/>
    <mergeCell ref="I27:I28"/>
    <mergeCell ref="J27:J28"/>
    <mergeCell ref="N27:N28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12.7109375" style="0" customWidth="1"/>
    <col min="4" max="10" width="14.7109375" style="0" customWidth="1"/>
    <col min="11" max="11" width="7.7109375" style="0" customWidth="1"/>
    <col min="12" max="12" width="2.7109375" style="0" customWidth="1"/>
  </cols>
  <sheetData>
    <row r="1" spans="1:12" ht="18" customHeight="1">
      <c r="A1" s="1334" t="s">
        <v>406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</row>
    <row r="2" spans="1:12" ht="27" customHeight="1">
      <c r="A2" s="60"/>
      <c r="B2" s="1344"/>
      <c r="C2" s="1345"/>
      <c r="D2" s="1345"/>
      <c r="E2" s="1345"/>
      <c r="F2" s="1345"/>
      <c r="G2" s="1345"/>
      <c r="H2" s="1345"/>
      <c r="I2" s="1345"/>
      <c r="J2" s="1345"/>
      <c r="K2" s="1346"/>
      <c r="L2" s="57"/>
    </row>
    <row r="3" spans="1:12" ht="19.5" customHeight="1">
      <c r="A3" s="60"/>
      <c r="B3" s="98"/>
      <c r="C3" s="1367" t="s">
        <v>41</v>
      </c>
      <c r="D3" s="1367"/>
      <c r="E3" s="1367"/>
      <c r="F3" s="1367"/>
      <c r="G3" s="1367"/>
      <c r="H3" s="1367"/>
      <c r="I3" s="1367"/>
      <c r="J3" s="1367"/>
      <c r="K3" s="106"/>
      <c r="L3" s="58"/>
    </row>
    <row r="4" spans="1:12" ht="19.5" customHeight="1">
      <c r="A4" s="60"/>
      <c r="B4" s="98"/>
      <c r="C4" s="355"/>
      <c r="D4" s="355"/>
      <c r="E4" s="355"/>
      <c r="F4" s="355"/>
      <c r="G4" s="355"/>
      <c r="H4" s="355"/>
      <c r="I4" s="355"/>
      <c r="J4" s="355"/>
      <c r="K4" s="106"/>
      <c r="L4" s="58"/>
    </row>
    <row r="5" spans="1:12" ht="19.5" customHeight="1">
      <c r="A5" s="60"/>
      <c r="B5" s="98"/>
      <c r="C5" s="1368" t="s">
        <v>42</v>
      </c>
      <c r="D5" s="1368"/>
      <c r="E5" s="1368"/>
      <c r="F5" s="1368"/>
      <c r="G5" s="1368"/>
      <c r="H5" s="1368"/>
      <c r="I5" s="1368"/>
      <c r="J5" s="1368"/>
      <c r="K5" s="106"/>
      <c r="L5" s="58"/>
    </row>
    <row r="6" spans="1:12" ht="21" customHeight="1">
      <c r="A6" s="60"/>
      <c r="B6" s="99"/>
      <c r="C6" s="1360" t="s">
        <v>43</v>
      </c>
      <c r="D6" s="1362" t="s">
        <v>44</v>
      </c>
      <c r="E6" s="1363"/>
      <c r="F6" s="1364"/>
      <c r="G6" s="1362" t="s">
        <v>45</v>
      </c>
      <c r="H6" s="1363"/>
      <c r="I6" s="1364"/>
      <c r="J6" s="1365" t="s">
        <v>46</v>
      </c>
      <c r="K6" s="103"/>
      <c r="L6" s="58"/>
    </row>
    <row r="7" spans="1:12" ht="21" customHeight="1">
      <c r="A7" s="60"/>
      <c r="B7" s="99"/>
      <c r="C7" s="1361"/>
      <c r="D7" s="291" t="s">
        <v>47</v>
      </c>
      <c r="E7" s="291" t="s">
        <v>48</v>
      </c>
      <c r="F7" s="291" t="s">
        <v>2</v>
      </c>
      <c r="G7" s="291" t="s">
        <v>49</v>
      </c>
      <c r="H7" s="291" t="s">
        <v>50</v>
      </c>
      <c r="I7" s="291" t="s">
        <v>2</v>
      </c>
      <c r="J7" s="1366"/>
      <c r="K7" s="103"/>
      <c r="L7" s="58"/>
    </row>
    <row r="8" spans="1:14" ht="19.5" customHeight="1">
      <c r="A8" s="60"/>
      <c r="B8" s="99"/>
      <c r="C8" s="290">
        <v>2004</v>
      </c>
      <c r="D8" s="7">
        <v>7723</v>
      </c>
      <c r="E8" s="7">
        <v>783</v>
      </c>
      <c r="F8" s="7">
        <f aca="true" t="shared" si="0" ref="F8:F20">SUM(D8:E8)</f>
        <v>8506</v>
      </c>
      <c r="G8" s="7">
        <v>4290</v>
      </c>
      <c r="H8" s="7">
        <v>454</v>
      </c>
      <c r="I8" s="7">
        <f aca="true" t="shared" si="1" ref="I8:I20">SUM(G8:H8)</f>
        <v>4744</v>
      </c>
      <c r="J8" s="8">
        <f aca="true" t="shared" si="2" ref="J8:J20">F8+I8</f>
        <v>13250</v>
      </c>
      <c r="K8" s="103"/>
      <c r="L8" s="58"/>
      <c r="N8" s="1225"/>
    </row>
    <row r="9" spans="1:12" ht="19.5" customHeight="1">
      <c r="A9" s="60"/>
      <c r="B9" s="99"/>
      <c r="C9" s="292">
        <v>2005</v>
      </c>
      <c r="D9" s="7">
        <v>10872</v>
      </c>
      <c r="E9" s="7">
        <v>1172</v>
      </c>
      <c r="F9" s="7">
        <f t="shared" si="0"/>
        <v>12044</v>
      </c>
      <c r="G9" s="7">
        <v>3191</v>
      </c>
      <c r="H9" s="7">
        <v>182</v>
      </c>
      <c r="I9" s="7">
        <f t="shared" si="1"/>
        <v>3373</v>
      </c>
      <c r="J9" s="8">
        <f t="shared" si="2"/>
        <v>15417</v>
      </c>
      <c r="K9" s="103"/>
      <c r="L9" s="58"/>
    </row>
    <row r="10" spans="1:12" ht="19.5" customHeight="1">
      <c r="A10" s="60"/>
      <c r="B10" s="99"/>
      <c r="C10" s="292">
        <v>2006</v>
      </c>
      <c r="D10" s="7">
        <f>9278</f>
        <v>9278</v>
      </c>
      <c r="E10" s="7">
        <v>446</v>
      </c>
      <c r="F10" s="7">
        <f t="shared" si="0"/>
        <v>9724</v>
      </c>
      <c r="G10" s="7">
        <v>1949</v>
      </c>
      <c r="H10" s="7">
        <v>182</v>
      </c>
      <c r="I10" s="7">
        <f t="shared" si="1"/>
        <v>2131</v>
      </c>
      <c r="J10" s="8">
        <f t="shared" si="2"/>
        <v>11855</v>
      </c>
      <c r="K10" s="103"/>
      <c r="L10" s="58"/>
    </row>
    <row r="11" spans="1:12" ht="19.5" customHeight="1">
      <c r="A11" s="60"/>
      <c r="B11" s="99"/>
      <c r="C11" s="292">
        <v>2007</v>
      </c>
      <c r="D11" s="7">
        <f>16781</f>
        <v>16781</v>
      </c>
      <c r="E11" s="7">
        <v>803</v>
      </c>
      <c r="F11" s="7">
        <f t="shared" si="0"/>
        <v>17584</v>
      </c>
      <c r="G11" s="7">
        <v>704</v>
      </c>
      <c r="H11" s="7">
        <v>182</v>
      </c>
      <c r="I11" s="7">
        <f t="shared" si="1"/>
        <v>886</v>
      </c>
      <c r="J11" s="8">
        <f t="shared" si="2"/>
        <v>18470</v>
      </c>
      <c r="K11" s="103"/>
      <c r="L11" s="58"/>
    </row>
    <row r="12" spans="1:12" ht="19.5" customHeight="1">
      <c r="A12" s="60"/>
      <c r="B12" s="99"/>
      <c r="C12" s="292">
        <v>2008</v>
      </c>
      <c r="D12" s="7">
        <v>11490</v>
      </c>
      <c r="E12" s="7">
        <v>1013</v>
      </c>
      <c r="F12" s="7">
        <f t="shared" si="0"/>
        <v>12503</v>
      </c>
      <c r="G12" s="7">
        <v>521</v>
      </c>
      <c r="H12" s="7">
        <v>178</v>
      </c>
      <c r="I12" s="7">
        <f t="shared" si="1"/>
        <v>699</v>
      </c>
      <c r="J12" s="8">
        <f t="shared" si="2"/>
        <v>13202</v>
      </c>
      <c r="K12" s="103"/>
      <c r="L12" s="58"/>
    </row>
    <row r="13" spans="1:12" ht="19.5" customHeight="1">
      <c r="A13" s="60"/>
      <c r="B13" s="99"/>
      <c r="C13" s="292">
        <v>2009</v>
      </c>
      <c r="D13" s="7">
        <v>14005</v>
      </c>
      <c r="E13" s="7">
        <v>651</v>
      </c>
      <c r="F13" s="7">
        <f t="shared" si="0"/>
        <v>14656</v>
      </c>
      <c r="G13" s="7">
        <v>494</v>
      </c>
      <c r="H13" s="7">
        <v>616</v>
      </c>
      <c r="I13" s="7">
        <f t="shared" si="1"/>
        <v>1110</v>
      </c>
      <c r="J13" s="8">
        <f t="shared" si="2"/>
        <v>15766</v>
      </c>
      <c r="K13" s="103"/>
      <c r="L13" s="58"/>
    </row>
    <row r="14" spans="1:12" ht="19.5" customHeight="1">
      <c r="A14" s="60"/>
      <c r="B14" s="99"/>
      <c r="C14" s="292">
        <v>2010</v>
      </c>
      <c r="D14" s="7">
        <v>8245</v>
      </c>
      <c r="E14" s="7">
        <v>699</v>
      </c>
      <c r="F14" s="7">
        <f t="shared" si="0"/>
        <v>8944</v>
      </c>
      <c r="G14" s="7">
        <v>506</v>
      </c>
      <c r="H14" s="7">
        <v>1648</v>
      </c>
      <c r="I14" s="7">
        <f t="shared" si="1"/>
        <v>2154</v>
      </c>
      <c r="J14" s="8">
        <f t="shared" si="2"/>
        <v>11098</v>
      </c>
      <c r="K14" s="103"/>
      <c r="L14" s="58"/>
    </row>
    <row r="15" spans="1:12" ht="19.5" customHeight="1">
      <c r="A15" s="60"/>
      <c r="B15" s="99"/>
      <c r="C15" s="292">
        <v>2011</v>
      </c>
      <c r="D15" s="7">
        <v>8233</v>
      </c>
      <c r="E15" s="7">
        <v>1005</v>
      </c>
      <c r="F15" s="7">
        <f t="shared" si="0"/>
        <v>9238</v>
      </c>
      <c r="G15" s="7">
        <v>487</v>
      </c>
      <c r="H15" s="7">
        <v>1615</v>
      </c>
      <c r="I15" s="7">
        <f t="shared" si="1"/>
        <v>2102</v>
      </c>
      <c r="J15" s="8">
        <f t="shared" si="2"/>
        <v>11340</v>
      </c>
      <c r="K15" s="103"/>
      <c r="L15" s="58"/>
    </row>
    <row r="16" spans="1:12" ht="19.5" customHeight="1">
      <c r="A16" s="60"/>
      <c r="B16" s="99"/>
      <c r="C16" s="292">
        <v>2012</v>
      </c>
      <c r="D16" s="7">
        <v>7722</v>
      </c>
      <c r="E16" s="7">
        <v>693</v>
      </c>
      <c r="F16" s="7">
        <f t="shared" si="0"/>
        <v>8415</v>
      </c>
      <c r="G16" s="7">
        <v>33.419</v>
      </c>
      <c r="H16" s="7">
        <v>1614.56</v>
      </c>
      <c r="I16" s="7">
        <f t="shared" si="1"/>
        <v>1647.979</v>
      </c>
      <c r="J16" s="8">
        <f t="shared" si="2"/>
        <v>10062.979</v>
      </c>
      <c r="K16" s="103"/>
      <c r="L16" s="57"/>
    </row>
    <row r="17" spans="1:12" ht="19.5" customHeight="1">
      <c r="A17" s="60"/>
      <c r="B17" s="99"/>
      <c r="C17" s="292">
        <v>2013</v>
      </c>
      <c r="D17" s="7">
        <v>12366</v>
      </c>
      <c r="E17" s="7">
        <v>1572</v>
      </c>
      <c r="F17" s="7">
        <f t="shared" si="0"/>
        <v>13938</v>
      </c>
      <c r="G17" s="7">
        <v>33.419</v>
      </c>
      <c r="H17" s="9">
        <v>1619.6645166666665</v>
      </c>
      <c r="I17" s="7">
        <f t="shared" si="1"/>
        <v>1653.0835166666666</v>
      </c>
      <c r="J17" s="8">
        <f t="shared" si="2"/>
        <v>15591.083516666666</v>
      </c>
      <c r="K17" s="103"/>
      <c r="L17" s="57"/>
    </row>
    <row r="18" spans="1:12" ht="19.5" customHeight="1">
      <c r="A18" s="60"/>
      <c r="B18" s="99"/>
      <c r="C18" s="292">
        <v>2014</v>
      </c>
      <c r="D18" s="9">
        <v>14163</v>
      </c>
      <c r="E18" s="9">
        <v>1055</v>
      </c>
      <c r="F18" s="7">
        <f t="shared" si="0"/>
        <v>15218</v>
      </c>
      <c r="G18" s="7">
        <v>33.419</v>
      </c>
      <c r="H18" s="9">
        <v>1619.6645166666665</v>
      </c>
      <c r="I18" s="7">
        <f t="shared" si="1"/>
        <v>1653.0835166666666</v>
      </c>
      <c r="J18" s="8">
        <f t="shared" si="2"/>
        <v>16871.083516666666</v>
      </c>
      <c r="K18" s="103"/>
      <c r="L18" s="57"/>
    </row>
    <row r="19" spans="1:12" ht="19.5" customHeight="1">
      <c r="A19" s="60"/>
      <c r="B19" s="99"/>
      <c r="C19" s="292">
        <v>2015</v>
      </c>
      <c r="D19" s="9">
        <v>12983</v>
      </c>
      <c r="E19" s="9">
        <v>1386.03</v>
      </c>
      <c r="F19" s="7">
        <f t="shared" si="0"/>
        <v>14369.03</v>
      </c>
      <c r="G19" s="7">
        <v>0</v>
      </c>
      <c r="H19" s="9">
        <v>1546.817</v>
      </c>
      <c r="I19" s="7">
        <f t="shared" si="1"/>
        <v>1546.817</v>
      </c>
      <c r="J19" s="8">
        <f t="shared" si="2"/>
        <v>15915.847000000002</v>
      </c>
      <c r="K19" s="103"/>
      <c r="L19" s="57"/>
    </row>
    <row r="20" spans="1:12" ht="19.5" customHeight="1">
      <c r="A20" s="60"/>
      <c r="B20" s="99"/>
      <c r="C20" s="292">
        <v>2016</v>
      </c>
      <c r="D20" s="9">
        <v>12469.827</v>
      </c>
      <c r="E20" s="9">
        <v>1119.208</v>
      </c>
      <c r="F20" s="7">
        <f t="shared" si="0"/>
        <v>13589.035</v>
      </c>
      <c r="G20" s="7">
        <v>0</v>
      </c>
      <c r="H20" s="1211">
        <v>1119.404</v>
      </c>
      <c r="I20" s="7">
        <f t="shared" si="1"/>
        <v>1119.404</v>
      </c>
      <c r="J20" s="8">
        <f t="shared" si="2"/>
        <v>14708.439</v>
      </c>
      <c r="K20" s="103"/>
      <c r="L20" s="57"/>
    </row>
    <row r="21" spans="1:12" ht="19.5" customHeight="1">
      <c r="A21" s="60"/>
      <c r="B21" s="99"/>
      <c r="C21" s="127" t="s">
        <v>51</v>
      </c>
      <c r="D21" s="128"/>
      <c r="E21" s="128"/>
      <c r="F21" s="128"/>
      <c r="G21" s="128"/>
      <c r="H21" s="128"/>
      <c r="I21" s="128"/>
      <c r="J21" s="128"/>
      <c r="K21" s="103"/>
      <c r="L21" s="57"/>
    </row>
    <row r="22" spans="1:12" ht="19.5" customHeight="1">
      <c r="A22" s="60"/>
      <c r="B22" s="117"/>
      <c r="C22" s="1206" t="s">
        <v>605</v>
      </c>
      <c r="D22" s="110"/>
      <c r="E22" s="118"/>
      <c r="F22" s="110"/>
      <c r="G22" s="118"/>
      <c r="H22" s="110"/>
      <c r="I22" s="110"/>
      <c r="J22" s="110"/>
      <c r="K22" s="129"/>
      <c r="L22" s="57"/>
    </row>
    <row r="23" spans="1:12" ht="19.5" customHeight="1">
      <c r="A23" s="60"/>
      <c r="B23" s="112"/>
      <c r="C23" s="174"/>
      <c r="D23" s="113"/>
      <c r="E23" s="113"/>
      <c r="F23" s="113"/>
      <c r="G23" s="113"/>
      <c r="H23" s="113"/>
      <c r="I23" s="113"/>
      <c r="J23" s="113"/>
      <c r="K23" s="131"/>
      <c r="L23" s="57"/>
    </row>
    <row r="24" spans="1:12" ht="18" customHeight="1">
      <c r="A24" s="57"/>
      <c r="B24" s="57"/>
      <c r="C24" s="175"/>
      <c r="D24" s="57"/>
      <c r="E24" s="57"/>
      <c r="F24" s="57"/>
      <c r="G24" s="57"/>
      <c r="H24" s="57"/>
      <c r="I24" s="57"/>
      <c r="J24" s="57"/>
      <c r="K24" s="57"/>
      <c r="L24" s="57"/>
    </row>
    <row r="25" ht="12.75">
      <c r="C25" s="4"/>
    </row>
  </sheetData>
  <sheetProtection/>
  <mergeCells count="8">
    <mergeCell ref="A1:L1"/>
    <mergeCell ref="B2:K2"/>
    <mergeCell ref="C6:C7"/>
    <mergeCell ref="D6:F6"/>
    <mergeCell ref="G6:I6"/>
    <mergeCell ref="J6:J7"/>
    <mergeCell ref="C3:J3"/>
    <mergeCell ref="C5:J5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2.7109375" style="0" customWidth="1"/>
    <col min="2" max="2" width="13.28125" style="0" customWidth="1"/>
    <col min="3" max="3" width="8.28125" style="0" customWidth="1"/>
    <col min="4" max="4" width="8.140625" style="0" customWidth="1"/>
    <col min="5" max="5" width="8.28125" style="0" customWidth="1"/>
    <col min="6" max="6" width="8.140625" style="0" customWidth="1"/>
    <col min="7" max="7" width="8.28125" style="0" customWidth="1"/>
    <col min="8" max="8" width="12.7109375" style="0" customWidth="1"/>
    <col min="9" max="9" width="10.28125" style="0" customWidth="1"/>
    <col min="10" max="10" width="8.421875" style="0" customWidth="1"/>
    <col min="11" max="11" width="11.421875" style="0" bestFit="1" customWidth="1"/>
    <col min="12" max="12" width="14.00390625" style="0" customWidth="1"/>
    <col min="13" max="13" width="9.28125" style="0" customWidth="1"/>
    <col min="14" max="14" width="10.140625" style="0" bestFit="1" customWidth="1"/>
    <col min="15" max="15" width="2.7109375" style="0" customWidth="1"/>
    <col min="251" max="251" width="3.28125" style="0" customWidth="1"/>
    <col min="252" max="252" width="13.28125" style="0" customWidth="1"/>
    <col min="253" max="253" width="8.28125" style="0" customWidth="1"/>
    <col min="254" max="254" width="8.140625" style="0" customWidth="1"/>
    <col min="255" max="255" width="8.28125" style="0" customWidth="1"/>
    <col min="256" max="16384" width="8.140625" style="0" customWidth="1"/>
  </cols>
  <sheetData>
    <row r="1" spans="1:15" ht="18" customHeight="1">
      <c r="A1" s="1334" t="s">
        <v>407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</row>
    <row r="2" spans="1:15" ht="21" customHeight="1">
      <c r="A2" s="60"/>
      <c r="B2" s="1344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6"/>
      <c r="O2" s="57"/>
    </row>
    <row r="3" spans="1:15" ht="21" customHeight="1">
      <c r="A3" s="60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  <c r="O3" s="57"/>
    </row>
    <row r="4" spans="1:15" ht="21" customHeight="1">
      <c r="A4" s="60"/>
      <c r="B4" s="98"/>
      <c r="C4" s="99"/>
      <c r="D4" s="99"/>
      <c r="E4" s="99"/>
      <c r="F4" s="99"/>
      <c r="G4" s="99"/>
      <c r="H4" s="458"/>
      <c r="I4" s="458"/>
      <c r="J4" s="458"/>
      <c r="K4" s="458"/>
      <c r="L4" s="458"/>
      <c r="M4" s="458"/>
      <c r="N4" s="100"/>
      <c r="O4" s="58"/>
    </row>
    <row r="5" spans="1:15" ht="21" customHeight="1">
      <c r="A5" s="60"/>
      <c r="B5" s="99"/>
      <c r="C5" s="99"/>
      <c r="D5" s="99"/>
      <c r="E5" s="99"/>
      <c r="F5" s="99"/>
      <c r="G5" s="99"/>
      <c r="H5" s="1369"/>
      <c r="I5" s="1369"/>
      <c r="J5" s="1369"/>
      <c r="K5" s="458"/>
      <c r="L5" s="458"/>
      <c r="M5" s="458"/>
      <c r="N5" s="102"/>
      <c r="O5" s="58"/>
    </row>
    <row r="6" spans="1:15" ht="21" customHeight="1">
      <c r="A6" s="60"/>
      <c r="B6" s="459"/>
      <c r="C6" s="1370"/>
      <c r="D6" s="1370"/>
      <c r="E6" s="1369"/>
      <c r="F6" s="1369"/>
      <c r="G6" s="474"/>
      <c r="H6" s="459"/>
      <c r="I6" s="459"/>
      <c r="J6" s="459"/>
      <c r="K6" s="1371"/>
      <c r="L6" s="1371"/>
      <c r="M6" s="1371"/>
      <c r="N6" s="1372"/>
      <c r="O6" s="58"/>
    </row>
    <row r="7" spans="1:15" ht="21" customHeight="1">
      <c r="A7" s="60"/>
      <c r="B7" s="99"/>
      <c r="C7" s="104"/>
      <c r="D7" s="104"/>
      <c r="E7" s="104"/>
      <c r="F7" s="104"/>
      <c r="G7" s="104"/>
      <c r="H7" s="460"/>
      <c r="I7" s="460"/>
      <c r="J7" s="460"/>
      <c r="K7" s="461"/>
      <c r="L7" s="461"/>
      <c r="M7" s="461"/>
      <c r="N7" s="105"/>
      <c r="O7" s="58"/>
    </row>
    <row r="8" spans="1:15" ht="21" customHeight="1">
      <c r="A8" s="60"/>
      <c r="B8" s="99"/>
      <c r="C8" s="104"/>
      <c r="D8" s="104"/>
      <c r="E8" s="462"/>
      <c r="F8" s="104"/>
      <c r="G8" s="462"/>
      <c r="H8" s="460"/>
      <c r="I8" s="460"/>
      <c r="J8" s="460"/>
      <c r="K8" s="463"/>
      <c r="L8" s="463"/>
      <c r="M8" s="463"/>
      <c r="N8" s="107"/>
      <c r="O8" s="58"/>
    </row>
    <row r="9" spans="1:15" ht="21" customHeight="1">
      <c r="A9" s="60"/>
      <c r="B9" s="99"/>
      <c r="C9" s="104"/>
      <c r="D9" s="104"/>
      <c r="E9" s="462"/>
      <c r="F9" s="104"/>
      <c r="G9" s="462"/>
      <c r="H9" s="460"/>
      <c r="I9" s="460"/>
      <c r="J9" s="460"/>
      <c r="K9" s="463"/>
      <c r="L9" s="463"/>
      <c r="M9" s="463"/>
      <c r="N9" s="107"/>
      <c r="O9" s="58"/>
    </row>
    <row r="10" spans="1:15" ht="21" customHeight="1">
      <c r="A10" s="60"/>
      <c r="B10" s="99"/>
      <c r="C10" s="104"/>
      <c r="D10" s="104"/>
      <c r="E10" s="462"/>
      <c r="F10" s="104"/>
      <c r="G10" s="462"/>
      <c r="H10" s="460"/>
      <c r="I10" s="460"/>
      <c r="J10" s="460"/>
      <c r="K10" s="463"/>
      <c r="L10" s="463"/>
      <c r="M10" s="463"/>
      <c r="N10" s="107"/>
      <c r="O10" s="58"/>
    </row>
    <row r="11" spans="1:15" ht="21" customHeight="1">
      <c r="A11" s="60"/>
      <c r="B11" s="99"/>
      <c r="C11" s="104"/>
      <c r="D11" s="104"/>
      <c r="E11" s="462"/>
      <c r="F11" s="104"/>
      <c r="G11" s="462"/>
      <c r="H11" s="460"/>
      <c r="I11" s="460"/>
      <c r="J11" s="460"/>
      <c r="K11" s="463"/>
      <c r="L11" s="463"/>
      <c r="M11" s="463"/>
      <c r="N11" s="107"/>
      <c r="O11" s="58"/>
    </row>
    <row r="12" spans="1:15" ht="21" customHeight="1">
      <c r="A12" s="60"/>
      <c r="B12" s="99"/>
      <c r="C12" s="104"/>
      <c r="D12" s="104"/>
      <c r="E12" s="104"/>
      <c r="F12" s="104"/>
      <c r="G12" s="462"/>
      <c r="H12" s="460"/>
      <c r="I12" s="460"/>
      <c r="J12" s="460"/>
      <c r="K12" s="463"/>
      <c r="L12" s="463"/>
      <c r="M12" s="463"/>
      <c r="N12" s="107"/>
      <c r="O12" s="58"/>
    </row>
    <row r="13" spans="1:15" ht="21" customHeight="1">
      <c r="A13" s="60"/>
      <c r="B13" s="99"/>
      <c r="C13" s="104"/>
      <c r="D13" s="104"/>
      <c r="E13" s="462"/>
      <c r="F13" s="104"/>
      <c r="G13" s="462"/>
      <c r="H13" s="460"/>
      <c r="I13" s="460"/>
      <c r="J13" s="460"/>
      <c r="K13" s="463"/>
      <c r="L13" s="463"/>
      <c r="M13" s="463"/>
      <c r="N13" s="107"/>
      <c r="O13" s="58"/>
    </row>
    <row r="14" spans="1:15" ht="21" customHeight="1">
      <c r="A14" s="60"/>
      <c r="B14" s="99"/>
      <c r="C14" s="104"/>
      <c r="D14" s="104"/>
      <c r="E14" s="104"/>
      <c r="F14" s="104"/>
      <c r="G14" s="104"/>
      <c r="H14" s="460"/>
      <c r="I14" s="460"/>
      <c r="J14" s="460"/>
      <c r="K14" s="464"/>
      <c r="L14" s="463"/>
      <c r="M14" s="463"/>
      <c r="N14" s="107"/>
      <c r="O14" s="58"/>
    </row>
    <row r="15" spans="1:15" ht="21" customHeight="1">
      <c r="A15" s="60"/>
      <c r="B15" s="99"/>
      <c r="C15" s="104"/>
      <c r="D15" s="104"/>
      <c r="E15" s="462"/>
      <c r="F15" s="104"/>
      <c r="G15" s="462"/>
      <c r="H15" s="460"/>
      <c r="I15" s="460"/>
      <c r="J15" s="460"/>
      <c r="K15" s="464"/>
      <c r="L15" s="464"/>
      <c r="M15" s="465"/>
      <c r="N15" s="109"/>
      <c r="O15" s="58"/>
    </row>
    <row r="16" spans="1:15" ht="21" customHeight="1">
      <c r="A16" s="60"/>
      <c r="B16" s="99"/>
      <c r="C16" s="104"/>
      <c r="D16" s="104"/>
      <c r="E16" s="462"/>
      <c r="F16" s="104"/>
      <c r="G16" s="462"/>
      <c r="H16" s="460"/>
      <c r="I16" s="460"/>
      <c r="J16" s="460"/>
      <c r="K16" s="466"/>
      <c r="L16" s="466"/>
      <c r="M16" s="466"/>
      <c r="N16" s="109"/>
      <c r="O16" s="58"/>
    </row>
    <row r="17" spans="1:15" ht="21" customHeight="1">
      <c r="A17" s="60"/>
      <c r="B17" s="99"/>
      <c r="C17" s="104"/>
      <c r="D17" s="104"/>
      <c r="E17" s="462"/>
      <c r="F17" s="104"/>
      <c r="G17" s="462"/>
      <c r="H17" s="460"/>
      <c r="I17" s="460"/>
      <c r="J17" s="460"/>
      <c r="K17" s="458"/>
      <c r="L17" s="467"/>
      <c r="M17" s="467"/>
      <c r="N17" s="100"/>
      <c r="O17" s="57"/>
    </row>
    <row r="18" spans="1:15" ht="21" customHeight="1">
      <c r="A18" s="60"/>
      <c r="B18" s="99"/>
      <c r="C18" s="104"/>
      <c r="D18" s="104"/>
      <c r="E18" s="462"/>
      <c r="F18" s="104"/>
      <c r="G18" s="462"/>
      <c r="H18" s="460"/>
      <c r="I18" s="460"/>
      <c r="J18" s="460"/>
      <c r="K18" s="458"/>
      <c r="L18" s="458"/>
      <c r="M18" s="458"/>
      <c r="N18" s="100"/>
      <c r="O18" s="57"/>
    </row>
    <row r="19" spans="1:15" ht="21" customHeight="1">
      <c r="A19" s="60"/>
      <c r="B19" s="99"/>
      <c r="C19" s="104"/>
      <c r="D19" s="104"/>
      <c r="E19" s="462"/>
      <c r="F19" s="104"/>
      <c r="G19" s="462"/>
      <c r="H19" s="460"/>
      <c r="I19" s="460"/>
      <c r="J19" s="460"/>
      <c r="K19" s="458"/>
      <c r="L19" s="458"/>
      <c r="M19" s="458"/>
      <c r="N19" s="100"/>
      <c r="O19" s="57"/>
    </row>
    <row r="20" spans="1:15" ht="21" customHeight="1">
      <c r="A20" s="60"/>
      <c r="B20" s="99"/>
      <c r="C20" s="104"/>
      <c r="D20" s="104"/>
      <c r="E20" s="104"/>
      <c r="F20" s="104"/>
      <c r="G20" s="104"/>
      <c r="H20" s="460"/>
      <c r="I20" s="460"/>
      <c r="J20" s="460"/>
      <c r="K20" s="458"/>
      <c r="L20" s="458"/>
      <c r="M20" s="458"/>
      <c r="N20" s="100"/>
      <c r="O20" s="57"/>
    </row>
    <row r="21" spans="1:15" ht="21" customHeight="1">
      <c r="A21" s="60"/>
      <c r="B21" s="117"/>
      <c r="C21" s="118"/>
      <c r="D21" s="110"/>
      <c r="E21" s="118"/>
      <c r="F21" s="110"/>
      <c r="G21" s="118"/>
      <c r="H21" s="460"/>
      <c r="I21" s="460"/>
      <c r="J21" s="460"/>
      <c r="K21" s="458"/>
      <c r="L21" s="458"/>
      <c r="M21" s="458"/>
      <c r="N21" s="100"/>
      <c r="O21" s="57"/>
    </row>
    <row r="22" spans="1:15" ht="21" customHeight="1">
      <c r="A22" s="60"/>
      <c r="B22" s="495" t="s">
        <v>505</v>
      </c>
      <c r="C22" s="113"/>
      <c r="D22" s="113"/>
      <c r="E22" s="113"/>
      <c r="F22" s="113"/>
      <c r="G22" s="113"/>
      <c r="H22" s="289"/>
      <c r="I22" s="289"/>
      <c r="J22" s="289"/>
      <c r="K22" s="113"/>
      <c r="L22" s="113"/>
      <c r="M22" s="113"/>
      <c r="N22" s="468">
        <f ca="1">NOW()</f>
        <v>42626.37860671296</v>
      </c>
      <c r="O22" s="57"/>
    </row>
    <row r="23" spans="1:15" ht="18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</sheetData>
  <sheetProtection/>
  <mergeCells count="7">
    <mergeCell ref="A1:O1"/>
    <mergeCell ref="B2:N2"/>
    <mergeCell ref="H5:J5"/>
    <mergeCell ref="C6:D6"/>
    <mergeCell ref="E6:F6"/>
    <mergeCell ref="K6:L6"/>
    <mergeCell ref="M6:N6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geame</dc:creator>
  <cp:keywords/>
  <dc:description/>
  <cp:lastModifiedBy>JFS</cp:lastModifiedBy>
  <cp:lastPrinted>2016-08-31T20:45:31Z</cp:lastPrinted>
  <dcterms:created xsi:type="dcterms:W3CDTF">2001-03-13T14:19:45Z</dcterms:created>
  <dcterms:modified xsi:type="dcterms:W3CDTF">2016-09-13T12:05:13Z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