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21.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6.xml" ContentType="application/vnd.openxmlformats-officedocument.drawingml.chartshapes+xml"/>
  <Override PartName="/xl/drawings/drawing9.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340" windowHeight="6795" tabRatio="932" activeTab="0"/>
  </bookViews>
  <sheets>
    <sheet name="Capa" sheetId="1" r:id="rId1"/>
    <sheet name="CCapa" sheetId="2" r:id="rId2"/>
    <sheet name="Indice" sheetId="3" r:id="rId3"/>
    <sheet name="Resumo" sheetId="4" r:id="rId4"/>
    <sheet name="1.Mundial" sheetId="5" r:id="rId5"/>
    <sheet name="2.Brasil" sheetId="6" r:id="rId6"/>
    <sheet name="3.Indicadores" sheetId="7" r:id="rId7"/>
    <sheet name="4.Estoque" sheetId="8" r:id="rId8"/>
    <sheet name="5.Série Safras" sheetId="9" r:id="rId9"/>
    <sheet name="6.Preços" sheetId="10" r:id="rId10"/>
    <sheet name="7.Gráfico" sheetId="11" r:id="rId11"/>
    <sheet name="8.Cotações" sheetId="12" r:id="rId12"/>
    <sheet name="9.Agro Ano" sheetId="13" r:id="rId13"/>
    <sheet name="10.Agro Mês" sheetId="14" r:id="rId14"/>
    <sheet name="11.Importações" sheetId="15" r:id="rId15"/>
    <sheet name="12.Exportações" sheetId="16" r:id="rId16"/>
    <sheet name="13.Evolução" sheetId="17" r:id="rId17"/>
    <sheet name="14.Exp. Verde" sheetId="18" r:id="rId18"/>
    <sheet name="15.Exp. Solúvel" sheetId="19" r:id="rId19"/>
    <sheet name="16.Exp. Torrado" sheetId="20" r:id="rId20"/>
    <sheet name="17.Exp. Extrato" sheetId="21" r:id="rId21"/>
    <sheet name="18.Total" sheetId="22" r:id="rId22"/>
    <sheet name="19.Destinos" sheetId="23" r:id="rId23"/>
    <sheet name="20.Custos" sheetId="24" r:id="rId24"/>
    <sheet name="21.PM" sheetId="25" r:id="rId25"/>
    <sheet name="22.Safra 16" sheetId="26" r:id="rId26"/>
    <sheet name="23.Safra 15" sheetId="27" r:id="rId27"/>
    <sheet name="24.Safra 14" sheetId="28" r:id="rId28"/>
    <sheet name="25.Ranking" sheetId="29" r:id="rId29"/>
    <sheet name="Plan1" sheetId="30" r:id="rId30"/>
    <sheet name="QS" sheetId="31" r:id="rId31"/>
    <sheet name="Plan3" sheetId="32" r:id="rId32"/>
  </sheets>
  <externalReferences>
    <externalReference r:id="rId35"/>
  </externalReferences>
  <definedNames>
    <definedName name="_xlnm.Print_Area" localSheetId="4">'1.Mundial'!$A$1:$U$28</definedName>
    <definedName name="OLE_LINK1" localSheetId="3">'Resumo'!$B$2</definedName>
  </definedNames>
  <calcPr fullCalcOnLoad="1"/>
</workbook>
</file>

<file path=xl/sharedStrings.xml><?xml version="1.0" encoding="utf-8"?>
<sst xmlns="http://schemas.openxmlformats.org/spreadsheetml/2006/main" count="1393" uniqueCount="620">
  <si>
    <t>Brasil</t>
  </si>
  <si>
    <t>EUA</t>
  </si>
  <si>
    <t>Total</t>
  </si>
  <si>
    <t>RO</t>
  </si>
  <si>
    <t>PA</t>
  </si>
  <si>
    <t>BA</t>
  </si>
  <si>
    <t>PR</t>
  </si>
  <si>
    <t>MG</t>
  </si>
  <si>
    <t>SP</t>
  </si>
  <si>
    <t>MT</t>
  </si>
  <si>
    <t>GO</t>
  </si>
  <si>
    <t>P.Médio</t>
  </si>
  <si>
    <t>%</t>
  </si>
  <si>
    <t>VERDE</t>
  </si>
  <si>
    <t>Outros</t>
  </si>
  <si>
    <t>Produtor</t>
  </si>
  <si>
    <t>Produção</t>
  </si>
  <si>
    <t>Consumo</t>
  </si>
  <si>
    <t>Exportação</t>
  </si>
  <si>
    <t>COMPLEXO SOJA</t>
  </si>
  <si>
    <t>PRODUTO</t>
  </si>
  <si>
    <t>Unidade</t>
  </si>
  <si>
    <t>PERÍODOS ANTERIORES</t>
  </si>
  <si>
    <t>Semana</t>
  </si>
  <si>
    <t>12 Meses</t>
  </si>
  <si>
    <t>4 Semanas</t>
  </si>
  <si>
    <t>1 Semana</t>
  </si>
  <si>
    <t>Atual</t>
  </si>
  <si>
    <t>R$/Saca</t>
  </si>
  <si>
    <t>ES</t>
  </si>
  <si>
    <t>RJ</t>
  </si>
  <si>
    <t>2011</t>
  </si>
  <si>
    <t xml:space="preserve">EVOLUÇÃO DOS PREÇOS INTERNACIONAIS </t>
  </si>
  <si>
    <t>Londres</t>
  </si>
  <si>
    <t>US$/Tonelada</t>
  </si>
  <si>
    <t>INDICADORES DE DESEMPENHO DA CAFEICULTURA BRASILEIRA</t>
  </si>
  <si>
    <t>1.1. Área em produção - milhões/há</t>
  </si>
  <si>
    <t>1.2. Produtividade sc/ha</t>
  </si>
  <si>
    <t xml:space="preserve">5.1. Financiamentos </t>
  </si>
  <si>
    <t>5.3. Pesquisa Cafeeira</t>
  </si>
  <si>
    <t>Fontes: DCAF - CONAB - ABIC - MDIC/SECEX - OIC - CEPEA/ESALQ/BM&amp;F</t>
  </si>
  <si>
    <t>ESTOQUES PRIVADOS E PÚBLICOS DE CAFÉ NO BRASIL</t>
  </si>
  <si>
    <t>(Em mil sacas de 60 kg)</t>
  </si>
  <si>
    <t>ANO</t>
  </si>
  <si>
    <t>ESTOQUES PRIVADOS</t>
  </si>
  <si>
    <t>PÚBLICOS</t>
  </si>
  <si>
    <t>TOTAL GERAL</t>
  </si>
  <si>
    <t>Arábica</t>
  </si>
  <si>
    <t>Robusta</t>
  </si>
  <si>
    <t>DCAF</t>
  </si>
  <si>
    <t>CONAB</t>
  </si>
  <si>
    <t>Fontes: CONAB</t>
  </si>
  <si>
    <t>R$/sc 60 kg</t>
  </si>
  <si>
    <t xml:space="preserve">MÊS </t>
  </si>
  <si>
    <t xml:space="preserve">* Arábica </t>
  </si>
  <si>
    <t>Tipo 6 BC-Duro</t>
  </si>
  <si>
    <t xml:space="preserve">Tipo 6-Pen.13 </t>
  </si>
  <si>
    <t>Tipo 7 BC</t>
  </si>
  <si>
    <t>(Base Cepea-Esalq)</t>
  </si>
  <si>
    <t xml:space="preserve">(Base Cepea-Esalq) </t>
  </si>
  <si>
    <t>(Base Varginha-MG)</t>
  </si>
  <si>
    <t>(Base Vitória-ES)</t>
  </si>
  <si>
    <t>JANEIRO</t>
  </si>
  <si>
    <t>FEVEREIRO</t>
  </si>
  <si>
    <t xml:space="preserve">MARÇO </t>
  </si>
  <si>
    <t>ABRIL</t>
  </si>
  <si>
    <t>MAIO</t>
  </si>
  <si>
    <t>JUNHO</t>
  </si>
  <si>
    <t>JULHO</t>
  </si>
  <si>
    <t>AGOSTO</t>
  </si>
  <si>
    <t>SETEMBRO</t>
  </si>
  <si>
    <t>OUTUBRO</t>
  </si>
  <si>
    <t>NOVEMBRO</t>
  </si>
  <si>
    <t>DEZEMBRO</t>
  </si>
  <si>
    <t>Média Anual</t>
  </si>
  <si>
    <t>EXPORTAÇÃO DO AGRONEGÓCIO BRASILEIRO - TOTAL</t>
  </si>
  <si>
    <t>PRINCIPAIS PRODUTOS EXPORTADOS</t>
  </si>
  <si>
    <t>Var.% (a/b)</t>
  </si>
  <si>
    <t>US$ MIL - (a)</t>
  </si>
  <si>
    <t>Part. %</t>
  </si>
  <si>
    <t>US$ MIL - (b)</t>
  </si>
  <si>
    <t>CARNES</t>
  </si>
  <si>
    <t>COMPLEXO SUCROALCOOLEIRO</t>
  </si>
  <si>
    <t>PRODUTOS FLORESTAIS</t>
  </si>
  <si>
    <t>CAFÉS</t>
  </si>
  <si>
    <t>CAFÉ VERDE</t>
  </si>
  <si>
    <t>CAFÉ SOLÚVEL</t>
  </si>
  <si>
    <t>CAFÉ TORRADO &amp; MOÍDO</t>
  </si>
  <si>
    <t>OUTROS EXTRATOS, ESSENCIAIS, CONCENTRADOS</t>
  </si>
  <si>
    <t>CASCAS, PELÍCULAS DE CAFÉ E SUCEDANEOS</t>
  </si>
  <si>
    <t>CEREAIS, FARINHAS E PREPARAÇÕES</t>
  </si>
  <si>
    <t>COUROS, PRODUTOS DE COURO E PELETERIA</t>
  </si>
  <si>
    <t>FUMO E SEUS PRODUTOS</t>
  </si>
  <si>
    <t xml:space="preserve">SUCOS </t>
  </si>
  <si>
    <t>FIBRAS E PRODUTOS TÊXTEIS</t>
  </si>
  <si>
    <t>FRUTAS (INCLUI NOZES E CASTANHAS)</t>
  </si>
  <si>
    <t>ANIMAIS VIVOS (EXCETO PESCADOS)</t>
  </si>
  <si>
    <t>CHÁ, MATE E ESPECIARIAS</t>
  </si>
  <si>
    <t>BEBIDAS</t>
  </si>
  <si>
    <t>LÁCTEOS</t>
  </si>
  <si>
    <t>CACAU E SEUS PRODUTOS</t>
  </si>
  <si>
    <t>PESCADOS</t>
  </si>
  <si>
    <t>DEMAIS PRODUTOS</t>
  </si>
  <si>
    <t>TOTAL:</t>
  </si>
  <si>
    <t>Fonte: AgroStat Brasil a partir de dados da SECEX/MDIC</t>
  </si>
  <si>
    <t>VARIAÇÃO RELATIVA</t>
  </si>
  <si>
    <t>VALOR</t>
  </si>
  <si>
    <t>QUANT.</t>
  </si>
  <si>
    <t>P.MÉDIO</t>
  </si>
  <si>
    <t>US$ Mil</t>
  </si>
  <si>
    <t>SC/60 kg</t>
  </si>
  <si>
    <t>US$ (FOB)</t>
  </si>
  <si>
    <t>SOLÚVEL</t>
  </si>
  <si>
    <t>TORRADO &amp; MOÍDO</t>
  </si>
  <si>
    <t>OUTROS EXTRATOS</t>
  </si>
  <si>
    <t>TOTAL</t>
  </si>
  <si>
    <t>Fonte: MDIC/SECEX</t>
  </si>
  <si>
    <t>EXPORTAÇÕES BRASILEIRAS DE CAFÉ VERDE</t>
  </si>
  <si>
    <t>MÊS</t>
  </si>
  <si>
    <t>Receita</t>
  </si>
  <si>
    <t>Volume</t>
  </si>
  <si>
    <t>Janeiro</t>
  </si>
  <si>
    <t>Fevereiro</t>
  </si>
  <si>
    <t>Março</t>
  </si>
  <si>
    <t>Abril</t>
  </si>
  <si>
    <t>Maio</t>
  </si>
  <si>
    <t>Junho</t>
  </si>
  <si>
    <t>Sub-total</t>
  </si>
  <si>
    <t>Julho</t>
  </si>
  <si>
    <t>Agosto</t>
  </si>
  <si>
    <t>Setembro</t>
  </si>
  <si>
    <t>Outubro</t>
  </si>
  <si>
    <t>Novembro</t>
  </si>
  <si>
    <t>Dezembro</t>
  </si>
  <si>
    <t>Receita: em mil US$</t>
  </si>
  <si>
    <t>Volume: em saca de 60 kg</t>
  </si>
  <si>
    <t>Preço Medio: em US$ por saca</t>
  </si>
  <si>
    <t>EXPORTAÇÕES BRASILEIRAS DE CAFÉ SOLÚVEL</t>
  </si>
  <si>
    <t>EXPORTAÇÕES BRASILEIRAS DE CAFÉ TORRADO &amp; MOÍDO</t>
  </si>
  <si>
    <t>EXPORTAÇÕES BRASILEIRAS DE CAFÉS</t>
  </si>
  <si>
    <t>t</t>
  </si>
  <si>
    <t>US$/t</t>
  </si>
  <si>
    <t>Conversão Verde em sacas de 60 kg: peso liquido/60</t>
  </si>
  <si>
    <t>Conversão Solúvel em sacas de 60 kg: peso liquido*2,6/60</t>
  </si>
  <si>
    <t>Conversão Torrado e Moído em sacas de 60 kg: peso liquido *1,19/60</t>
  </si>
  <si>
    <t xml:space="preserve">EXPORTAÇÕES BRASILEIRAS DE CAFÉ VERDE </t>
  </si>
  <si>
    <t>NCM: 0901.11.10/0901.12.00</t>
  </si>
  <si>
    <t>PAÍSES</t>
  </si>
  <si>
    <t>QUANT</t>
  </si>
  <si>
    <t>US$ MIL</t>
  </si>
  <si>
    <t xml:space="preserve">   OUTROS</t>
  </si>
  <si>
    <t xml:space="preserve">TOTAL </t>
  </si>
  <si>
    <t>EXPORTAÇÕES BRASILEIRAS DE CAFÉ SOLÚVEL, MESMO DESCAFEINADO</t>
  </si>
  <si>
    <t>NCM: 2101.11.10</t>
  </si>
  <si>
    <t>NCM: 0901.21.00/0901.22.00</t>
  </si>
  <si>
    <t xml:space="preserve">EXPORTAÇÕES BRASILEIRAS DE OUTROS EXTRATOS, ESSENCIAIS, PREPARS, CONCENTRADOS DE CAFÉ </t>
  </si>
  <si>
    <t>NCM: 2101.11.90/2101.12.00</t>
  </si>
  <si>
    <t>TOTAL DAS IMPORTAÇÕES BRASILEIRAS DE CAFÉS</t>
  </si>
  <si>
    <t>TORRADO E MOÍDO</t>
  </si>
  <si>
    <t xml:space="preserve">Produção, Exportação Mundial e Consumo Interno de Café </t>
  </si>
  <si>
    <t>(Principais Países Produtores)</t>
  </si>
  <si>
    <t>CAFÉ - RANKING</t>
  </si>
  <si>
    <t>Produção Mundial - Produtores</t>
  </si>
  <si>
    <t>Países</t>
  </si>
  <si>
    <t>*2014</t>
  </si>
  <si>
    <t>2013</t>
  </si>
  <si>
    <t>2012</t>
  </si>
  <si>
    <t>2010</t>
  </si>
  <si>
    <t xml:space="preserve">Part. (%) </t>
  </si>
  <si>
    <t>*Brasil</t>
  </si>
  <si>
    <t>Vietnan</t>
  </si>
  <si>
    <t>Colômbia</t>
  </si>
  <si>
    <t>Indonésia</t>
  </si>
  <si>
    <t>Etiópia</t>
  </si>
  <si>
    <t>Índia</t>
  </si>
  <si>
    <t>Peru</t>
  </si>
  <si>
    <t>Honduras</t>
  </si>
  <si>
    <t>México</t>
  </si>
  <si>
    <t>Uganda</t>
  </si>
  <si>
    <t>Guatemala</t>
  </si>
  <si>
    <t>Costa do Marfim</t>
  </si>
  <si>
    <t>Nicaragua</t>
  </si>
  <si>
    <t>Costa Rica</t>
  </si>
  <si>
    <t>El Salvador</t>
  </si>
  <si>
    <t>Outros países</t>
  </si>
  <si>
    <t>Fontes: *MAPA/SPAE/CONAB; O.I.C.</t>
  </si>
  <si>
    <t>*Estimativas</t>
  </si>
  <si>
    <t>Exportação Mundial - Produtores</t>
  </si>
  <si>
    <t>Fontes: *MDIC/SECEX; O.I.C.</t>
  </si>
  <si>
    <t>Consumo Interno - Produtores</t>
  </si>
  <si>
    <t>Fontes: *ABIC; O.I.C.</t>
  </si>
  <si>
    <t>Outr. países</t>
  </si>
  <si>
    <t>Fonte: OIC e CONAB</t>
  </si>
  <si>
    <t>Alemanha</t>
  </si>
  <si>
    <t>Itália</t>
  </si>
  <si>
    <t>Belgica</t>
  </si>
  <si>
    <t>Japão</t>
  </si>
  <si>
    <t>Espanha</t>
  </si>
  <si>
    <t>Canadá</t>
  </si>
  <si>
    <t>Reino Unido</t>
  </si>
  <si>
    <t>Suécia</t>
  </si>
  <si>
    <t>Turquia</t>
  </si>
  <si>
    <t>Russia</t>
  </si>
  <si>
    <t>2014</t>
  </si>
  <si>
    <t>Importador</t>
  </si>
  <si>
    <t>PRAÇA</t>
  </si>
  <si>
    <t>Nova York</t>
  </si>
  <si>
    <t>NY</t>
  </si>
  <si>
    <t>LD</t>
  </si>
  <si>
    <t>Otr.</t>
  </si>
  <si>
    <t>UF</t>
  </si>
  <si>
    <t>A &amp; P</t>
  </si>
  <si>
    <t>Cerrado</t>
  </si>
  <si>
    <t>Planalto</t>
  </si>
  <si>
    <t>Atlântico</t>
  </si>
  <si>
    <t>Indicadores</t>
  </si>
  <si>
    <t>2.1. Valor - bilhões/US$</t>
  </si>
  <si>
    <t>2.2. Preço Médio - US$/sc</t>
  </si>
  <si>
    <t>3.1. Per capita - kg/habitante ano</t>
  </si>
  <si>
    <t>4. Estoques Totais (milhões/sc)</t>
  </si>
  <si>
    <t>5. Orçamento Funcafé - R$ milhões</t>
  </si>
  <si>
    <t xml:space="preserve">5.2. Publicidade e Promoção </t>
  </si>
  <si>
    <t>Fonte: Desex</t>
  </si>
  <si>
    <t>Base legal</t>
  </si>
  <si>
    <t>Safra</t>
  </si>
  <si>
    <t>Conilon</t>
  </si>
  <si>
    <t>Tipo</t>
  </si>
  <si>
    <t>Peneira</t>
  </si>
  <si>
    <t>2001/2002</t>
  </si>
  <si>
    <t xml:space="preserve">13 acima </t>
  </si>
  <si>
    <t>(Não houve definição)</t>
  </si>
  <si>
    <t>Decreto nº 4.783, de 17-7-2003</t>
  </si>
  <si>
    <t>2002/2003</t>
  </si>
  <si>
    <t xml:space="preserve">14 acima </t>
  </si>
  <si>
    <t>Decreto nº 5.071, de 7-5-2004</t>
  </si>
  <si>
    <t>2003/2004</t>
  </si>
  <si>
    <t>Decreto nº 5.494, de 20-7-2005</t>
  </si>
  <si>
    <t>2004/2005</t>
  </si>
  <si>
    <t>Decreto nº 5.838, de 10-7-2006</t>
  </si>
  <si>
    <t>2005/2006</t>
  </si>
  <si>
    <t>2006/2007</t>
  </si>
  <si>
    <t>Decreto nº 6.557, de 8-9-2008</t>
  </si>
  <si>
    <t>2007/2008</t>
  </si>
  <si>
    <t>2008/2009</t>
  </si>
  <si>
    <t>Portaria MAPA nº 460, de 19-6-2009</t>
  </si>
  <si>
    <t xml:space="preserve">Portaria MAPA nº 392, de 19-5-2010 </t>
  </si>
  <si>
    <t>A partir da safra 2009/2010</t>
  </si>
  <si>
    <t>Portaria MAPA nº 309, de 17-5-2013</t>
  </si>
  <si>
    <t>mai/13 a mar/14</t>
  </si>
  <si>
    <t>Portaria MAPA nº 478, de 20-5-2014</t>
  </si>
  <si>
    <t>mai/14 a mar/15</t>
  </si>
  <si>
    <t>Preço mínimo (R$ / 60kg)</t>
  </si>
  <si>
    <t>Decreto nº 4.325, de 7-8-2002 (*)</t>
  </si>
  <si>
    <t>(**)</t>
  </si>
  <si>
    <r>
      <t>Portaria MAPA nº 339, de 14-5-2009</t>
    </r>
    <r>
      <rPr>
        <sz val="9"/>
        <rFont val="Arial"/>
        <family val="2"/>
      </rPr>
      <t xml:space="preserve"> (revogada pela Portaria nº 460, de 19-6-2009)</t>
    </r>
  </si>
  <si>
    <t>Preços Mínimos para os cafés Arábica e Conilon</t>
  </si>
  <si>
    <t>(*) Preço mínimo exclusivamente para opções de venda em 2002</t>
  </si>
  <si>
    <t>(**) Tipo 7, com até 150 defeitos</t>
  </si>
  <si>
    <t>(***) Tipo 6, bebida dura para melhor, com até 86 defeitos</t>
  </si>
  <si>
    <t>(***)</t>
  </si>
  <si>
    <t>Decreto nº 6.078, de 10-4-2007</t>
  </si>
  <si>
    <t>Tabela de entrada de dados para planilha e gráficos</t>
  </si>
  <si>
    <t>Sul</t>
  </si>
  <si>
    <t>Triângulo</t>
  </si>
  <si>
    <t>Mata</t>
  </si>
  <si>
    <t>Norte</t>
  </si>
  <si>
    <t>Contratos</t>
  </si>
  <si>
    <t>Recursos</t>
  </si>
  <si>
    <t>Área Financida</t>
  </si>
  <si>
    <t>Nº</t>
  </si>
  <si>
    <t>R$ milhões</t>
  </si>
  <si>
    <t>ÁREA (em hectáres)</t>
  </si>
  <si>
    <t>PRODUÇÃO (em mil sacas)</t>
  </si>
  <si>
    <t>Operações</t>
  </si>
  <si>
    <t>em hectáres</t>
  </si>
  <si>
    <t>CASCA E PELÍCULAS</t>
  </si>
  <si>
    <t>P. MÉDIO</t>
  </si>
  <si>
    <t>TOTAL DAS EXPORTAÇÕES BRASILEIRAS DE CAFÉS</t>
  </si>
  <si>
    <t>CASCAS, PELÍCULAS</t>
  </si>
  <si>
    <t>US$ (MIL)</t>
  </si>
  <si>
    <t>ESTADOS UNIDOS</t>
  </si>
  <si>
    <t>JAPAO</t>
  </si>
  <si>
    <t>CANADA</t>
  </si>
  <si>
    <t>TURQUIA</t>
  </si>
  <si>
    <t>ARABIA SAUDITA</t>
  </si>
  <si>
    <t>INDONESIA</t>
  </si>
  <si>
    <t>ARGENTINA</t>
  </si>
  <si>
    <t>CINGAPURA</t>
  </si>
  <si>
    <t>URUGUAI</t>
  </si>
  <si>
    <t>PARAGUAI</t>
  </si>
  <si>
    <t>BOLIVIA</t>
  </si>
  <si>
    <t>TAIWAN (FORMOSA)</t>
  </si>
  <si>
    <t>COREIA,REP.SUL</t>
  </si>
  <si>
    <t>MEXICO</t>
  </si>
  <si>
    <t>França</t>
  </si>
  <si>
    <t xml:space="preserve"> Câmbio = </t>
  </si>
  <si>
    <t xml:space="preserve"> Dólar/saca   = </t>
  </si>
  <si>
    <t>R$/saca</t>
  </si>
  <si>
    <t xml:space="preserve"> R$/saca </t>
  </si>
  <si>
    <t xml:space="preserve">1. Produção - em milhões/sc </t>
  </si>
  <si>
    <t xml:space="preserve">2. Exportações em - milhões/sc </t>
  </si>
  <si>
    <r>
      <t>7. Participação no Agronegócio</t>
    </r>
    <r>
      <rPr>
        <sz val="10"/>
        <rFont val="Arial"/>
        <family val="2"/>
      </rPr>
      <t xml:space="preserve"> (%)</t>
    </r>
  </si>
  <si>
    <t>VARIAÇÃO RELATIVA (%)</t>
  </si>
  <si>
    <t>Finlândia</t>
  </si>
  <si>
    <t>Portaria MAPA nº 094 de 06-05-2015</t>
  </si>
  <si>
    <t>abr/15 a mar/16</t>
  </si>
  <si>
    <t/>
  </si>
  <si>
    <t xml:space="preserve">Dólar/saca   = </t>
  </si>
  <si>
    <t>Atualizado:</t>
  </si>
  <si>
    <t>SECRETARIA DE POLÍTICA AGRÍCOLA - SPA</t>
  </si>
  <si>
    <t>CEP: 70043-900 - Brasília - DF</t>
  </si>
  <si>
    <t>Telefone: (61) 3218-2812, 3322-0408</t>
  </si>
  <si>
    <t>e-mail: airton.camargo@agricultura.gov.br</t>
  </si>
  <si>
    <t>http://www.agricultura.gov.br/vegetal/cafe/estatisticas</t>
  </si>
  <si>
    <t>Selecione: Café</t>
  </si>
  <si>
    <t>TABELAS E GRÁFICOS</t>
  </si>
  <si>
    <t>Export.</t>
  </si>
  <si>
    <t>US$ mil</t>
  </si>
  <si>
    <t>Sacas mil</t>
  </si>
  <si>
    <t>MINISTÉRIO DA AGRICULTURA, PECUÁRIA E ABASTECIMENTO</t>
  </si>
  <si>
    <t>Elaboração: MAPA/SPA/DCRR</t>
  </si>
  <si>
    <t>(PRINCIPAIS IMPORTADORES)</t>
  </si>
  <si>
    <t>UNIÃO EUROPEIA 28</t>
  </si>
  <si>
    <t>COREIA DO SUL</t>
  </si>
  <si>
    <t>RUSSIA</t>
  </si>
  <si>
    <t>EXPORTAÇÕES BRASILEIRAS DE CAFÉ TORRADO</t>
  </si>
  <si>
    <t>EXPORTAÇÕES BRASILEIRAS DE CAFÉ EXTRATO</t>
  </si>
  <si>
    <t>Última</t>
  </si>
  <si>
    <t>QUANTIDADE</t>
  </si>
  <si>
    <t>Fonte e Elaboração: CONAB</t>
  </si>
  <si>
    <t>Ano</t>
  </si>
  <si>
    <t>ARÁBICA</t>
  </si>
  <si>
    <t>CONILON</t>
  </si>
  <si>
    <t>Produção Total</t>
  </si>
  <si>
    <t>Elaboração e Fonte: Mapa</t>
  </si>
  <si>
    <t xml:space="preserve">BC Tipo 6 Duro </t>
  </si>
  <si>
    <t>***Arábica</t>
  </si>
  <si>
    <t>***Conilon</t>
  </si>
  <si>
    <t>* Conilon</t>
  </si>
  <si>
    <t xml:space="preserve">**Arábica </t>
  </si>
  <si>
    <t>Elaboração: MAPA/SPA</t>
  </si>
  <si>
    <t>Conversão Outs.Estratos, Essencias em sacas de 60 kg: peso liquido*2,6/60</t>
  </si>
  <si>
    <t xml:space="preserve">3. Consumo (em milhões de sacas) </t>
  </si>
  <si>
    <r>
      <t xml:space="preserve">8. IPR pelos produtores - </t>
    </r>
    <r>
      <rPr>
        <sz val="11"/>
        <rFont val="Arial"/>
        <family val="2"/>
      </rPr>
      <t xml:space="preserve">café tipo 6, bebida dura, </t>
    </r>
    <r>
      <rPr>
        <sz val="10"/>
        <rFont val="Arial"/>
        <family val="2"/>
      </rPr>
      <t>CEPEIA/ESALQ (R$/sc)</t>
    </r>
  </si>
  <si>
    <t>Dados para construção da planilha:</t>
  </si>
  <si>
    <t>EXPORTAÇÕES BRASILEIRAS GLOBAIS</t>
  </si>
  <si>
    <t>-</t>
  </si>
  <si>
    <t>Volume: em sacas de 60 kg</t>
  </si>
  <si>
    <t>Evolução (%)</t>
  </si>
  <si>
    <t>mês</t>
  </si>
  <si>
    <t>U$ saca</t>
  </si>
  <si>
    <t>Var.</t>
  </si>
  <si>
    <t>Conversão Outros Estratos, Essencias em sacas de 60 kg: peso liquido*2,6/60</t>
  </si>
  <si>
    <t>Discriminação</t>
  </si>
  <si>
    <t>Custo de Produção</t>
  </si>
  <si>
    <t>Área Total em Produção (ha)</t>
  </si>
  <si>
    <t>Participação do Estado ou Região na área  total (%)</t>
  </si>
  <si>
    <t>Participação do cálculo no Estado ou Região (%)</t>
  </si>
  <si>
    <t>Preço Mercado (R$/saca)</t>
  </si>
  <si>
    <t>Variável (CV)</t>
  </si>
  <si>
    <t>Total (CT)</t>
  </si>
  <si>
    <t>CV</t>
  </si>
  <si>
    <t>CT</t>
  </si>
  <si>
    <t>(R$/ha)</t>
  </si>
  <si>
    <t>(R$/saca)</t>
  </si>
  <si>
    <r>
      <t>02. GO (Cristalina)</t>
    </r>
    <r>
      <rPr>
        <sz val="9"/>
        <rFont val="Arial"/>
        <family val="2"/>
      </rPr>
      <t xml:space="preserve"> - 55 sacas - Mec. e Irrigado</t>
    </r>
  </si>
  <si>
    <t>10. PR (Londrina) 30 sacas - Mecanizada.</t>
  </si>
  <si>
    <t>11. SP (Franca) 30 sacas - Mecanizada.</t>
  </si>
  <si>
    <t>13. RO (Rolim de Moura) 25 sacas - Manual</t>
  </si>
  <si>
    <t>14. RO (Ji Paraná) 20 sacas - Manual</t>
  </si>
  <si>
    <t>15. RO (Rolim de Moura) 60 sacas - Mecaniz.</t>
  </si>
  <si>
    <t>16. ES (Pinheiros) 60 sacas - Mecanizada</t>
  </si>
  <si>
    <t>(*) - Área abrangida pelo cálculo dos custos</t>
  </si>
  <si>
    <t>Fonte: Publicações da CONAB</t>
  </si>
  <si>
    <t xml:space="preserve">Cerrado  -      9.129 ha -  37,00 sacas/ha </t>
  </si>
  <si>
    <t>Resultado (%)</t>
  </si>
  <si>
    <t>Robusta Total - 432.852 há</t>
  </si>
  <si>
    <t>Arábica Total - 1.497.293 há</t>
  </si>
  <si>
    <t>Área (*) de influência dos cálculos dos custos (ha)</t>
  </si>
  <si>
    <t>Estado (RO)   -   87.657 há - 19,51 sacas</t>
  </si>
  <si>
    <t>Estado (ES)   -  273.701  há - 27,18 sacas (***)</t>
  </si>
  <si>
    <r>
      <t>06. MG</t>
    </r>
    <r>
      <rPr>
        <sz val="9"/>
        <rFont val="Arial"/>
        <family val="2"/>
      </rPr>
      <t xml:space="preserve"> (Guaxupé) - 30 sacas - Mecanizada.</t>
    </r>
  </si>
  <si>
    <r>
      <t>07. MG (Guaxupé)</t>
    </r>
    <r>
      <rPr>
        <sz val="9"/>
        <rFont val="Arial"/>
        <family val="2"/>
      </rPr>
      <t xml:space="preserve"> - 30 sacas - Semi-mecan.</t>
    </r>
  </si>
  <si>
    <t>Cerrado - Arábica</t>
  </si>
  <si>
    <t>Planalto - Arábica</t>
  </si>
  <si>
    <t>Atlântico - Robusta</t>
  </si>
  <si>
    <t>CAFÉ - BENEFICIADO - ARÁBICA &amp; ROBUSTA</t>
  </si>
  <si>
    <t xml:space="preserve">Zona da Mata - Arábica </t>
  </si>
  <si>
    <t xml:space="preserve">Zona da Mata - Robusta </t>
  </si>
  <si>
    <t>Norte - Arábica</t>
  </si>
  <si>
    <t>Norte - Robusta</t>
  </si>
  <si>
    <t>Triângulo - Arábica</t>
  </si>
  <si>
    <t>Sul - Arábica</t>
  </si>
  <si>
    <t>em hectares</t>
  </si>
  <si>
    <t>em mil sacas</t>
  </si>
  <si>
    <t>Área em Produção</t>
  </si>
  <si>
    <t>Estados e Regiões</t>
  </si>
  <si>
    <t>EQUIVALENCIA EM REAIS</t>
  </si>
  <si>
    <t>AUSTRÁLIA</t>
  </si>
  <si>
    <t>Área Cultivada e Custeio</t>
  </si>
  <si>
    <t>Holanda</t>
  </si>
  <si>
    <t>Coréia</t>
  </si>
  <si>
    <t>Principais Países Produtores de Café</t>
  </si>
  <si>
    <t>Principais Países Importadores de Café do Brasil</t>
  </si>
  <si>
    <t>Estatísticas de Produtores &amp; Importadores de Café</t>
  </si>
  <si>
    <t>Em 2015</t>
  </si>
  <si>
    <r>
      <t>6. Part. na Produção Mundial</t>
    </r>
    <r>
      <rPr>
        <sz val="10"/>
        <rFont val="Arial"/>
        <family val="2"/>
      </rPr>
      <t xml:space="preserve"> (%)</t>
    </r>
  </si>
  <si>
    <t>Planilha 01</t>
  </si>
  <si>
    <t>Planilha 02</t>
  </si>
  <si>
    <t>Planilha 03</t>
  </si>
  <si>
    <t>Planilha 04</t>
  </si>
  <si>
    <t>Planilha 05</t>
  </si>
  <si>
    <t>Planilha 06</t>
  </si>
  <si>
    <t>Planilha 07</t>
  </si>
  <si>
    <t>Planilha 08</t>
  </si>
  <si>
    <t>Planilha 09</t>
  </si>
  <si>
    <t>Planilha 10</t>
  </si>
  <si>
    <t>Planilha 11</t>
  </si>
  <si>
    <t>Planilha 14</t>
  </si>
  <si>
    <t>Planilha 15</t>
  </si>
  <si>
    <t>Planilha 16</t>
  </si>
  <si>
    <t>Planilha 17</t>
  </si>
  <si>
    <t>Planilha 18</t>
  </si>
  <si>
    <t>Planilha 19</t>
  </si>
  <si>
    <t>Planilha 20</t>
  </si>
  <si>
    <t>Planilha 21</t>
  </si>
  <si>
    <t>Planilha 22</t>
  </si>
  <si>
    <t>Planilha 23</t>
  </si>
  <si>
    <t>Safra 2015/16 e Safra 2016/17</t>
  </si>
  <si>
    <t>Safra 2014/15 e Safra 2015/16</t>
  </si>
  <si>
    <t>Safra 2013/14 e Safra 2014/15</t>
  </si>
  <si>
    <t>04. Estoques Privados e Públicos de Café no Brasil</t>
  </si>
  <si>
    <t>06. Acompanhamento Semanal de Preços Internos e Externos</t>
  </si>
  <si>
    <t>05. Série Histórica da Produção Nacional de Café - 2001 a 2016</t>
  </si>
  <si>
    <t xml:space="preserve">01. Estatísticas de Produtores &amp; Importadores de Café (produção, exportação e consumo mundial) </t>
  </si>
  <si>
    <t>Esplanada dos Ministérios, Bloco "D", 6º andar sala 644</t>
  </si>
  <si>
    <t>C. Marfim</t>
  </si>
  <si>
    <t>2015 - em milhões de sacas</t>
  </si>
  <si>
    <t>Equador</t>
  </si>
  <si>
    <t>Kenia</t>
  </si>
  <si>
    <t>Produtividade</t>
  </si>
  <si>
    <t xml:space="preserve">Tipo 6 BD </t>
  </si>
  <si>
    <t>CAFÉ - Média Mensal dos Preços Recebidos pelos Produtores - 2014/2015/2016</t>
  </si>
  <si>
    <t>*CEPEA-ESALQ/BM&amp;F; **Boletim de Comércio de Café de Minas Gerais (CCCMG); e ***Boletim do Centro do Comércio de Vitória (CCV); (+)nova fonte e tipo a partir de Setembro/15.</t>
  </si>
  <si>
    <t>2015</t>
  </si>
  <si>
    <t>RANKING POR VALORES DE 2015 e 2014</t>
  </si>
  <si>
    <t>RANKING POR VALORES DE 2016 e 2015</t>
  </si>
  <si>
    <r>
      <rPr>
        <b/>
        <sz val="10"/>
        <rFont val="Arial"/>
        <family val="2"/>
      </rPr>
      <t>Robusta</t>
    </r>
    <r>
      <rPr>
        <sz val="10"/>
        <rFont val="Arial"/>
        <family val="2"/>
      </rPr>
      <t xml:space="preserve"> (sacas/ha)</t>
    </r>
  </si>
  <si>
    <r>
      <rPr>
        <b/>
        <sz val="10"/>
        <rFont val="Arial"/>
        <family val="2"/>
      </rPr>
      <t>Arábica</t>
    </r>
    <r>
      <rPr>
        <sz val="10"/>
        <rFont val="Arial"/>
        <family val="2"/>
      </rPr>
      <t xml:space="preserve"> (sacas/ha)</t>
    </r>
  </si>
  <si>
    <t>*2015</t>
  </si>
  <si>
    <t>R. Sul -  474.611 há - 21,60 sacas</t>
  </si>
  <si>
    <t>(16/15)</t>
  </si>
  <si>
    <t>Acumulado/6 meses</t>
  </si>
  <si>
    <t>Acumulado/12 meses</t>
  </si>
  <si>
    <t>a 2015</t>
  </si>
  <si>
    <t>MALÁSIA</t>
  </si>
  <si>
    <t>SÍRIA</t>
  </si>
  <si>
    <t>LÍBANO</t>
  </si>
  <si>
    <t>(3) Estimativa ABIC</t>
  </si>
  <si>
    <t>(4) Produção Mundial estimada em 143,4</t>
  </si>
  <si>
    <t>Fonte: Bacen - Sicor</t>
  </si>
  <si>
    <t>Programas</t>
  </si>
  <si>
    <t xml:space="preserve">   PRONAMP</t>
  </si>
  <si>
    <t xml:space="preserve">   PRONAF</t>
  </si>
  <si>
    <t xml:space="preserve">   FUNCAFE</t>
  </si>
  <si>
    <t xml:space="preserve">  SEM VINCULOS</t>
  </si>
  <si>
    <t xml:space="preserve">  TOTAL</t>
  </si>
  <si>
    <t>Crédito Agrícola para Café - Custeio - 2015</t>
  </si>
  <si>
    <t>MS</t>
  </si>
  <si>
    <t>Recursos em R$</t>
  </si>
  <si>
    <t>Área Cultivada e Produção Brasileira - Safra 2015/16 e 2016/17</t>
  </si>
  <si>
    <t>SUB-TOTAL</t>
  </si>
  <si>
    <t>BOLÍVIA</t>
  </si>
  <si>
    <t>EMIRADOS ÁRABES</t>
  </si>
  <si>
    <t>CHILE</t>
  </si>
  <si>
    <t>CHINA</t>
  </si>
  <si>
    <t>ANGOLA</t>
  </si>
  <si>
    <t>BRASIL</t>
  </si>
  <si>
    <t>Total Geral</t>
  </si>
  <si>
    <t>MAURÍCIO</t>
  </si>
  <si>
    <t>Planilha 12</t>
  </si>
  <si>
    <t>Planilha 13</t>
  </si>
  <si>
    <t>INFORME ESTATÍSTICO DO CAFÉ</t>
  </si>
  <si>
    <t>Índice de preços CEPEA-ESALQ</t>
  </si>
  <si>
    <r>
      <t>05. MG (Guaxupé)</t>
    </r>
    <r>
      <rPr>
        <sz val="9"/>
        <color indexed="10"/>
        <rFont val="Arial"/>
        <family val="2"/>
      </rPr>
      <t xml:space="preserve"> - 30 sacas - Manual - Mont.</t>
    </r>
  </si>
  <si>
    <r>
      <t>01. BA</t>
    </r>
    <r>
      <rPr>
        <sz val="9"/>
        <color indexed="10"/>
        <rFont val="Arial"/>
        <family val="2"/>
      </rPr>
      <t xml:space="preserve"> (Luiz Eduardo) - 50 sacas - mec. Irrigado</t>
    </r>
  </si>
  <si>
    <r>
      <t>08. MG (Patrocínio) -</t>
    </r>
    <r>
      <rPr>
        <sz val="9"/>
        <color indexed="10"/>
        <rFont val="Arial"/>
        <family val="2"/>
      </rPr>
      <t xml:space="preserve"> 30 sacas - Semi-mecaniz.</t>
    </r>
  </si>
  <si>
    <r>
      <t>03. MG (S. S. do Paraíso) -</t>
    </r>
    <r>
      <rPr>
        <sz val="9"/>
        <color indexed="10"/>
        <rFont val="Arial"/>
        <family val="2"/>
      </rPr>
      <t xml:space="preserve"> 30 sacas - Semi-mecanizada 70%</t>
    </r>
  </si>
  <si>
    <r>
      <t>04. MG (S. S. do Paraíso)</t>
    </r>
    <r>
      <rPr>
        <sz val="9"/>
        <color indexed="10"/>
        <rFont val="Arial"/>
        <family val="2"/>
      </rPr>
      <t xml:space="preserve"> - 30 sacas - Semi-mecanizada 30%</t>
    </r>
  </si>
  <si>
    <r>
      <t>09. MG (Manhuaçú) -</t>
    </r>
    <r>
      <rPr>
        <sz val="9"/>
        <color indexed="10"/>
        <rFont val="Arial"/>
        <family val="2"/>
      </rPr>
      <t xml:space="preserve"> 24 sacas - Manual</t>
    </r>
  </si>
  <si>
    <t>12. ES (Venda Nova) - 30 sacas</t>
  </si>
  <si>
    <t>CUSTO DE PRODUÇÃO x PREÇOS MÉDIOS DE MERCADO - Safra 2015/2016</t>
  </si>
  <si>
    <t xml:space="preserve">Planalto  -  101.921 ha -   8,08 sacas/ha </t>
  </si>
  <si>
    <t>Atlântico  -    35.228 ha - 33,60 sacas/ha(**)</t>
  </si>
  <si>
    <t>Estado (GO)   -    6.175 ha - 36,81 sacas</t>
  </si>
  <si>
    <t>R. Cerrado    -  170.634 ha - 24,80 sacas</t>
  </si>
  <si>
    <t>R. Zona da Mata - 288.336 ha - 23,25 sacas</t>
  </si>
  <si>
    <t>Estado (MG) - 967.456  ha - 22,59 sacas (**)</t>
  </si>
  <si>
    <t>Estado (PR)   -    44.500  ha - 27,19 sacas</t>
  </si>
  <si>
    <t>Estado (SP)   -   203.490  ha - 18,85 sacas</t>
  </si>
  <si>
    <t>Estado (ES)   -   156.601 ha - 18,76 sacas</t>
  </si>
  <si>
    <t>(**) - café Robusta (conilon), na BA = 35.228 ha e MG = 13.389 ha (descontados)</t>
  </si>
  <si>
    <t>(***) - café Arábica, no ES = 156.601 ha (descontados)</t>
  </si>
  <si>
    <t>Estado (BA)   - 143.939  ha - 16,04 sacas</t>
  </si>
  <si>
    <t>NORUEGA</t>
  </si>
  <si>
    <t>MALASIA</t>
  </si>
  <si>
    <t>PERU</t>
  </si>
  <si>
    <t>SÉRVIA</t>
  </si>
  <si>
    <t>MIANMAR</t>
  </si>
  <si>
    <t>GEÓRGIA</t>
  </si>
  <si>
    <t>Eslovênia</t>
  </si>
  <si>
    <t>Grécia</t>
  </si>
  <si>
    <t>abr/16 a mar/17</t>
  </si>
  <si>
    <t>Portaria MAPA nº 092 de 10-05-2016</t>
  </si>
  <si>
    <t>Fonte e Elaboração: CONAB (segunda divulgação - maio de 2016)</t>
  </si>
  <si>
    <t>Ministro: BLAIRO MAGGI</t>
  </si>
  <si>
    <t>Fonte: Conab - Levantamentos de Dez/2015 e Mai/2016</t>
  </si>
  <si>
    <t xml:space="preserve">     Fonte: Conab - Incluindo divulgação de MAI/2016 - Segunda Estimativa</t>
  </si>
  <si>
    <t>Secretário-Executivo: EUMAR NOVACKI</t>
  </si>
  <si>
    <t>Secretário da SPA: NERI GELLER</t>
  </si>
  <si>
    <t>Em quantidade por saca de 60 kg e valores em US$</t>
  </si>
  <si>
    <t>Anos de 2015 e 2016</t>
  </si>
  <si>
    <t>VALOR EM US$ (mil)</t>
  </si>
  <si>
    <t>QUANTIDADE EM SACAS(60kg)</t>
  </si>
  <si>
    <t>SAFRA 2016</t>
  </si>
  <si>
    <t>Jan</t>
  </si>
  <si>
    <t>Fev</t>
  </si>
  <si>
    <t>Mar</t>
  </si>
  <si>
    <t>Abr</t>
  </si>
  <si>
    <t>Mai</t>
  </si>
  <si>
    <t>SAFRA 2015</t>
  </si>
  <si>
    <t>Planilha 24</t>
  </si>
  <si>
    <t xml:space="preserve">08. Cotação Mensal dos Preços de Cafés Recebidos pelos Produtores  </t>
  </si>
  <si>
    <t>09. Exportação do Agronegócio Brasileiro - Ranking dos Principais Produtos - 2015</t>
  </si>
  <si>
    <t>Planilha 25</t>
  </si>
  <si>
    <t>Evolução Mensal das Exportações Brasileira de Café</t>
  </si>
  <si>
    <t>13. Evolução Mensal das Exportações Brasileiras - 2015 e 2016</t>
  </si>
  <si>
    <t>14. Exportações Brasileiras de Café Verde</t>
  </si>
  <si>
    <t>15. Exportações Brasileiras de Café Solúvel</t>
  </si>
  <si>
    <t>16. Exportações Brasileiras de Café Torrado e Moído</t>
  </si>
  <si>
    <t>17. Exportações Brasileiras de Outros Extratos, Concentrado de Café</t>
  </si>
  <si>
    <t>18. Total das Exportações Brasileiras de Cafés</t>
  </si>
  <si>
    <t>19. Total das Exportações Brasileiras por Destinos - União Européia e Princiais Importadores</t>
  </si>
  <si>
    <t>20. Custos de Produção</t>
  </si>
  <si>
    <t>21. Preços Mínimos</t>
  </si>
  <si>
    <t>23. Estimativa da Safra - 2015</t>
  </si>
  <si>
    <t>24. Estimativa da Safra - 2014</t>
  </si>
  <si>
    <t xml:space="preserve">25. Produção, Exportação e Consumo Mundial de Café (RANKING) </t>
  </si>
  <si>
    <t>22. Estimativa da Safra - 2016</t>
  </si>
  <si>
    <t>(1) Com base no 2ª Estimativa da Safra de Café da CONAB - Mai/16</t>
  </si>
  <si>
    <t>% no mês</t>
  </si>
  <si>
    <t>Evolução</t>
  </si>
  <si>
    <t>Fax: (61) 3322-0337</t>
  </si>
  <si>
    <t>MOÍDO</t>
  </si>
  <si>
    <t>EXTRATOS</t>
  </si>
  <si>
    <t>CASCA</t>
  </si>
  <si>
    <t>Jan a Jun/2016</t>
  </si>
  <si>
    <t>Jan a Jun/2015</t>
  </si>
  <si>
    <t>CANADÁ</t>
  </si>
  <si>
    <t xml:space="preserve">Coordenador: Hugo Borges Rodrigues </t>
  </si>
  <si>
    <t>Elaboração: Airton Camargo Pacheco da Silva</t>
  </si>
  <si>
    <t>airton.camargo@agricultura.gov.br</t>
  </si>
  <si>
    <t>Coordenação Geral de Riscos Agropecuários</t>
  </si>
  <si>
    <t>Diretor do DGRRE: VITOR AUGUSTO OZAKI</t>
  </si>
  <si>
    <t>DEPARTAMENTO DE GESTÃO DE RISCOS E RECURSOS ECONÔMICOS - DGRRE</t>
  </si>
  <si>
    <r>
      <t xml:space="preserve">Custos a preços de abril/2014 - </t>
    </r>
    <r>
      <rPr>
        <sz val="10"/>
        <color indexed="10"/>
        <rFont val="Arial"/>
        <family val="2"/>
      </rPr>
      <t>novembro/2015</t>
    </r>
    <r>
      <rPr>
        <sz val="10"/>
        <rFont val="Arial"/>
        <family val="2"/>
      </rPr>
      <t xml:space="preserve"> &amp; Preços Médios Pagos ao Produtor em Junho de 2016</t>
    </r>
  </si>
  <si>
    <t>10. Exportação do Agronegócio Brasileiro - Ranking dos Principais Produtos - Comparativo Acumulado 2015 e 2016</t>
  </si>
  <si>
    <t xml:space="preserve">03. Indicadores de Desempenho da Cafeicultura Brasileira - 2007 a 2016  </t>
  </si>
  <si>
    <t>02. Área cultivada e Programas de Financiamento da Safra de Café</t>
  </si>
  <si>
    <t>07. Evolução mensal dos preços internos do café Arábica e Robusta</t>
  </si>
  <si>
    <t>12. Exportações Brasileiras de Cafés - 2015 e 2016</t>
  </si>
  <si>
    <t>11. Importações Brasileiras de Cafés - 2013 a 2016.</t>
  </si>
  <si>
    <t>US$ (cents/lp)</t>
  </si>
  <si>
    <t>Ano 17.</t>
  </si>
  <si>
    <t>Julho de 2016</t>
  </si>
  <si>
    <t>Estoques privados pesquisados pela CONAB - posição de 31.03.16; e estoques público - posição de Jul/16.</t>
  </si>
  <si>
    <t>EVOLUÇÃO DOS PREÇOS AO PRODUTOR - Café Arábica (tipo 6 bc)</t>
  </si>
  <si>
    <t>EVOLUÇÃO DOS PREÇOS AO PRODUTOR - Café Robusta (tipo 7 bc)</t>
  </si>
  <si>
    <t>04 a 08/07</t>
  </si>
  <si>
    <t>18 a 22/07</t>
  </si>
  <si>
    <t>Estoque Inicial</t>
  </si>
  <si>
    <t>Importação</t>
  </si>
  <si>
    <t>Oferta Total</t>
  </si>
  <si>
    <t>Estoque Final</t>
  </si>
  <si>
    <t>Diferença</t>
  </si>
  <si>
    <t>Desvio %</t>
  </si>
  <si>
    <t>2009/2010</t>
  </si>
  <si>
    <t>2010/2011</t>
  </si>
  <si>
    <t>2012/2013</t>
  </si>
  <si>
    <t>2013/2014</t>
  </si>
  <si>
    <t>2014/2015</t>
  </si>
  <si>
    <t>2015/2016</t>
  </si>
  <si>
    <t>2016/2017</t>
  </si>
  <si>
    <t>Estoque Final = Oferta Total - (Consumo + Exportação))</t>
  </si>
  <si>
    <t>Desvio = percentual do estoque que faltou para ser igual ao estoque levantado.</t>
  </si>
  <si>
    <t>Estoque Inicial = levantamento da Conab para o período safra.</t>
  </si>
  <si>
    <t>Diferença = Estoque Final - Estoque Inicial (levantado pela Conab) para a proxima safra</t>
  </si>
  <si>
    <t>Elaboração: SPA/DGRRE</t>
  </si>
  <si>
    <t>Quadro Demonstrativo de Oferta e Demanda de Café</t>
  </si>
  <si>
    <t>2011/2012</t>
  </si>
  <si>
    <t>Em 2016 - até Julho</t>
  </si>
  <si>
    <t xml:space="preserve">        O tempo mais seco nas regiões produtoras, neste mês de julho, permitiu o avanço normal da colheita do café, sendo que o conilon já se encontra quase totalmente colhido e o arábica está ao redor de 60% de seu quantitativo.</t>
  </si>
  <si>
    <t>Jan a Jul/2016</t>
  </si>
  <si>
    <t>Jan a Jul/2015</t>
  </si>
  <si>
    <t>Jan a Jul de 2016</t>
  </si>
  <si>
    <t>Jan a Jul de 2015</t>
  </si>
  <si>
    <r>
      <t>49,668</t>
    </r>
    <r>
      <rPr>
        <vertAlign val="superscript"/>
        <sz val="11"/>
        <rFont val="Arial"/>
        <family val="2"/>
      </rPr>
      <t>(1)</t>
    </r>
  </si>
  <si>
    <r>
      <rPr>
        <sz val="11"/>
        <rFont val="Arial"/>
        <family val="2"/>
      </rPr>
      <t>18,385</t>
    </r>
    <r>
      <rPr>
        <vertAlign val="superscript"/>
        <sz val="11"/>
        <rFont val="Arial"/>
        <family val="2"/>
      </rPr>
      <t>(2)</t>
    </r>
  </si>
  <si>
    <r>
      <t>20,5</t>
    </r>
    <r>
      <rPr>
        <vertAlign val="superscript"/>
        <sz val="11"/>
        <rFont val="Arial"/>
        <family val="2"/>
      </rPr>
      <t>(3)</t>
    </r>
  </si>
  <si>
    <t>(5) Estoques em 31/03/16 - Conab</t>
  </si>
  <si>
    <t>(2) Arábica mês de Jul/16</t>
  </si>
  <si>
    <r>
      <t>14,91</t>
    </r>
    <r>
      <rPr>
        <vertAlign val="superscript"/>
        <sz val="11"/>
        <rFont val="Arial"/>
        <family val="2"/>
      </rPr>
      <t>(5)</t>
    </r>
  </si>
  <si>
    <r>
      <t>34,64</t>
    </r>
    <r>
      <rPr>
        <vertAlign val="superscript"/>
        <sz val="11"/>
        <rFont val="Arial"/>
        <family val="2"/>
      </rPr>
      <t>(4)</t>
    </r>
  </si>
  <si>
    <r>
      <t>5,1</t>
    </r>
    <r>
      <rPr>
        <vertAlign val="superscript"/>
        <sz val="11"/>
        <rFont val="Arial"/>
        <family val="2"/>
      </rPr>
      <t>(2)</t>
    </r>
  </si>
  <si>
    <r>
      <t>498,52</t>
    </r>
    <r>
      <rPr>
        <vertAlign val="superscript"/>
        <sz val="11"/>
        <rFont val="Arial"/>
        <family val="2"/>
      </rPr>
      <t>(2)</t>
    </r>
  </si>
  <si>
    <t xml:space="preserve">        Os preços médios do produto exportado, que vinham se mantendo estabilizados por volta de US$ 147,00 para o equivalente em saca, neste mês de julho tiveram um aumento de 9 dólares por saca ou mais 6,12%, refletindo os aumentos do mercado interno e externo no período. A receita reduziu por conta da quantidade exportada que, em face da escassez do produto, ficou 13,9% abaixo do mês anterior e 26,44 % inferior a quantidade média mensal deste ano.</t>
  </si>
  <si>
    <t>RESUMO DE JUNHO - 2016</t>
  </si>
  <si>
    <t xml:space="preserve">        No final deste mês a Conab divulgou o resultado da "pesquisa de estoques privados de café", uma informação muito aguardada pelo setor. Foi declarada a existência de 13,6 milhões de sacas em 31/03/16, entre estoques privados e públicos, sendo 1,1 de conilon e 12,5 de arábica. Parece um número elevado e além da expectativa do mercado, porém perfeitamente explicável ao considerar o quantitativo necessário para suprir a demanda do primeiro semestre, da ordem de 4,2 milhões de sacas/mês, quando havia pouco café da nova safra, devido a redução na produção do conilon e o atraso na colheita do arábica. Trata-se de uma informação de alta relevância, que vem sendo muito bem entendida pela maioria dos detentores do produto, ao informar seus estoques, uma vez que as estimativas de safras, por melhor que seja a sua metodologia, sempre trará uma considerável margem de erro no seu longo percurso, desde a floração até o beneficiamento do produto.</t>
  </si>
  <si>
    <r>
      <t xml:space="preserve">        O Governo autorizou a venda dos estoques públicos, sob a guarda da Conab, para suprir a falta do produto no mercado, aproveitando também a oportunidade de se desfazer do custo de carregamento de produto da safra 2009/2010, adquirido por Contrato de Opção</t>
    </r>
    <r>
      <rPr>
        <sz val="11"/>
        <color indexed="10"/>
        <rFont val="Calibri"/>
        <family val="2"/>
      </rPr>
      <t>,</t>
    </r>
    <r>
      <rPr>
        <sz val="11"/>
        <rFont val="Calibri"/>
        <family val="2"/>
      </rPr>
      <t xml:space="preserve"> operação que se realiza num momento absolutamente propício par tal, ou seja, sem afetar a comercialização por parte dos produtores, uma vez que a demanda se encontra aquecida. Com a última venda de 67 mil sacas, no final deste mês de julho, a qual apresentou um ágio de 12% em média nos preços de comercialização, restam agora nos armazéns da Companhia 1,3 milhões de sacas que irão suprir os leilões quinzenais nos próximos meses, conforme a demanda.</t>
    </r>
  </si>
  <si>
    <t xml:space="preserve">        Nestes primeiros 7 meses do ano, os preços nominais do café, no mercado interno, evoluíram em 1,47% no caso do arábica e 5,38% no caso do conilon, acumulando desde 2013, quando começou a escalada de aumentos por conta das intempéries climáticas, em 72,54% e 69,81%, respectivamente. No mercado futuro de Londres o aumento, neste ano de 2016, foi de 25,50% e em Nova York de 28,76%.   </t>
  </si>
</sst>
</file>

<file path=xl/styles.xml><?xml version="1.0" encoding="utf-8"?>
<styleSheet xmlns="http://schemas.openxmlformats.org/spreadsheetml/2006/main">
  <numFmts count="2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_);_(* \(#,##0.00\);_(* &quot;-&quot;??_);_(@_)"/>
    <numFmt numFmtId="165" formatCode="0.0"/>
    <numFmt numFmtId="166" formatCode="_(* #,##0.0_);_(* \(#,##0.0\);_(* &quot;-&quot;??_);_(@_)"/>
    <numFmt numFmtId="167" formatCode="#,##0.0"/>
    <numFmt numFmtId="168" formatCode="_(* #,##0_);_(* \(#,##0\);_(* &quot;-&quot;??_);_(@_)"/>
    <numFmt numFmtId="169" formatCode="dd/mm/yy"/>
    <numFmt numFmtId="170" formatCode="_-* #,##0_-;\-* #,##0_-;_-* &quot;-&quot;??_-;_-@_-"/>
    <numFmt numFmtId="171" formatCode="0.0%"/>
    <numFmt numFmtId="172" formatCode="#,##0;[Red]\-#,##0;_(* &quot;---&quot;_);_(@_)"/>
    <numFmt numFmtId="173" formatCode="_(* #,##0_);_(* \(#,##0\);_(* \-?_);_(@_)"/>
    <numFmt numFmtId="174" formatCode="#,##0.00\ _$;\-#,##0.00\ _$"/>
    <numFmt numFmtId="175" formatCode="_(* #,##0.0_);_(* \(#,##0.0\);_(* \-?_);_(@_)"/>
    <numFmt numFmtId="176" formatCode="_(* #,##0.0_);_(* \(#,##0.0\);_(* &quot;-&quot;_);_(@_)"/>
    <numFmt numFmtId="177" formatCode="d/m/yy"/>
    <numFmt numFmtId="178" formatCode="_(* #,##0_);_(* \(#,##0\);_(* &quot;-&quot;_);_(@_)"/>
  </numFmts>
  <fonts count="135">
    <font>
      <sz val="10"/>
      <name val="Arial"/>
      <family val="0"/>
    </font>
    <font>
      <sz val="11"/>
      <color indexed="8"/>
      <name val="Calibri"/>
      <family val="2"/>
    </font>
    <font>
      <sz val="12"/>
      <name val="Times New Roman"/>
      <family val="1"/>
    </font>
    <font>
      <b/>
      <sz val="12"/>
      <name val="Arial"/>
      <family val="2"/>
    </font>
    <font>
      <sz val="12"/>
      <name val="Arial"/>
      <family val="2"/>
    </font>
    <font>
      <sz val="11"/>
      <name val="Arial"/>
      <family val="2"/>
    </font>
    <font>
      <b/>
      <sz val="14"/>
      <name val="Times New Roman"/>
      <family val="1"/>
    </font>
    <font>
      <b/>
      <sz val="11"/>
      <name val="Arial"/>
      <family val="2"/>
    </font>
    <font>
      <b/>
      <sz val="10"/>
      <name val="Arial"/>
      <family val="2"/>
    </font>
    <font>
      <sz val="10"/>
      <color indexed="11"/>
      <name val="Arial"/>
      <family val="2"/>
    </font>
    <font>
      <sz val="10"/>
      <name val="Times New Roman"/>
      <family val="1"/>
    </font>
    <font>
      <sz val="12"/>
      <color indexed="12"/>
      <name val="Times New Roman"/>
      <family val="1"/>
    </font>
    <font>
      <sz val="8"/>
      <name val="Arial"/>
      <family val="2"/>
    </font>
    <font>
      <sz val="9"/>
      <name val="Arial"/>
      <family val="2"/>
    </font>
    <font>
      <b/>
      <sz val="10"/>
      <name val="Arial Narrow"/>
      <family val="2"/>
    </font>
    <font>
      <sz val="10"/>
      <name val="Arial Narrow"/>
      <family val="2"/>
    </font>
    <font>
      <sz val="9"/>
      <name val="Arial Narrow"/>
      <family val="2"/>
    </font>
    <font>
      <b/>
      <sz val="14"/>
      <name val="Arial"/>
      <family val="2"/>
    </font>
    <font>
      <b/>
      <sz val="9"/>
      <name val="Arial"/>
      <family val="2"/>
    </font>
    <font>
      <b/>
      <sz val="8"/>
      <name val="Arial"/>
      <family val="2"/>
    </font>
    <font>
      <sz val="7"/>
      <name val="Arial"/>
      <family val="2"/>
    </font>
    <font>
      <sz val="6"/>
      <name val="Arial"/>
      <family val="2"/>
    </font>
    <font>
      <sz val="9"/>
      <color indexed="8"/>
      <name val="Arial"/>
      <family val="2"/>
    </font>
    <font>
      <b/>
      <sz val="9"/>
      <color indexed="8"/>
      <name val="Arial"/>
      <family val="2"/>
    </font>
    <font>
      <b/>
      <i/>
      <sz val="9"/>
      <color indexed="8"/>
      <name val="Arial"/>
      <family val="2"/>
    </font>
    <font>
      <u val="single"/>
      <sz val="10"/>
      <color indexed="12"/>
      <name val="Arial"/>
      <family val="2"/>
    </font>
    <font>
      <b/>
      <u val="single"/>
      <sz val="12"/>
      <name val="Arial"/>
      <family val="2"/>
    </font>
    <font>
      <b/>
      <u val="single"/>
      <sz val="11"/>
      <name val="Arial"/>
      <family val="2"/>
    </font>
    <font>
      <u val="single"/>
      <sz val="11"/>
      <name val="Arial"/>
      <family val="2"/>
    </font>
    <font>
      <b/>
      <sz val="10"/>
      <color indexed="8"/>
      <name val="Arial"/>
      <family val="2"/>
    </font>
    <font>
      <sz val="10"/>
      <color indexed="8"/>
      <name val="Arial"/>
      <family val="2"/>
    </font>
    <font>
      <b/>
      <sz val="10"/>
      <name val="Arial Black"/>
      <family val="2"/>
    </font>
    <font>
      <b/>
      <sz val="7.5"/>
      <name val="Arial"/>
      <family val="2"/>
    </font>
    <font>
      <b/>
      <sz val="10"/>
      <name val="Palatino Linotype"/>
      <family val="1"/>
    </font>
    <font>
      <b/>
      <sz val="9"/>
      <name val="Palatino Linotype"/>
      <family val="1"/>
    </font>
    <font>
      <i/>
      <sz val="10"/>
      <name val="Arial"/>
      <family val="2"/>
    </font>
    <font>
      <b/>
      <sz val="12"/>
      <color indexed="12"/>
      <name val="Arial"/>
      <family val="2"/>
    </font>
    <font>
      <sz val="11"/>
      <color indexed="12"/>
      <name val="Times New Roman"/>
      <family val="1"/>
    </font>
    <font>
      <sz val="9"/>
      <color indexed="12"/>
      <name val="Times New Roman"/>
      <family val="1"/>
    </font>
    <font>
      <b/>
      <sz val="14"/>
      <color indexed="10"/>
      <name val="Arial"/>
      <family val="2"/>
    </font>
    <font>
      <u val="single"/>
      <sz val="7.5"/>
      <color indexed="12"/>
      <name val="Arial"/>
      <family val="2"/>
    </font>
    <font>
      <b/>
      <u val="single"/>
      <sz val="10"/>
      <name val="Arial"/>
      <family val="2"/>
    </font>
    <font>
      <sz val="10"/>
      <color indexed="22"/>
      <name val="Arial"/>
      <family val="2"/>
    </font>
    <font>
      <b/>
      <i/>
      <sz val="11"/>
      <color indexed="8"/>
      <name val="Arial"/>
      <family val="2"/>
    </font>
    <font>
      <sz val="11"/>
      <color indexed="8"/>
      <name val="Arial"/>
      <family val="2"/>
    </font>
    <font>
      <i/>
      <sz val="10"/>
      <color indexed="8"/>
      <name val="Arial"/>
      <family val="2"/>
    </font>
    <font>
      <b/>
      <sz val="12"/>
      <name val="Times New Roman"/>
      <family val="1"/>
    </font>
    <font>
      <sz val="10"/>
      <color indexed="12"/>
      <name val="Arial"/>
      <family val="2"/>
    </font>
    <font>
      <sz val="10"/>
      <color indexed="10"/>
      <name val="Arial"/>
      <family val="2"/>
    </font>
    <font>
      <sz val="11"/>
      <color indexed="10"/>
      <name val="Arial"/>
      <family val="2"/>
    </font>
    <font>
      <b/>
      <sz val="11"/>
      <color indexed="10"/>
      <name val="Arial"/>
      <family val="2"/>
    </font>
    <font>
      <b/>
      <sz val="10"/>
      <color indexed="10"/>
      <name val="Arial"/>
      <family val="2"/>
    </font>
    <font>
      <b/>
      <sz val="12"/>
      <color indexed="62"/>
      <name val="Arial"/>
      <family val="2"/>
    </font>
    <font>
      <b/>
      <sz val="10"/>
      <color indexed="62"/>
      <name val="Arial"/>
      <family val="2"/>
    </font>
    <font>
      <sz val="10"/>
      <color indexed="60"/>
      <name val="Arial"/>
      <family val="2"/>
    </font>
    <font>
      <sz val="12"/>
      <color indexed="56"/>
      <name val="Arial"/>
      <family val="2"/>
    </font>
    <font>
      <sz val="9"/>
      <color indexed="10"/>
      <name val="Arial"/>
      <family val="2"/>
    </font>
    <font>
      <sz val="10"/>
      <color indexed="62"/>
      <name val="Arial"/>
      <family val="2"/>
    </font>
    <font>
      <sz val="12"/>
      <name val="Calibri"/>
      <family val="2"/>
    </font>
    <font>
      <b/>
      <sz val="12"/>
      <name val="Calibri"/>
      <family val="2"/>
    </font>
    <font>
      <sz val="11"/>
      <color indexed="62"/>
      <name val="Arial"/>
      <family val="2"/>
    </font>
    <font>
      <sz val="11"/>
      <name val="Calibri"/>
      <family val="2"/>
    </font>
    <font>
      <sz val="8"/>
      <color indexed="62"/>
      <name val="Arial"/>
      <family val="2"/>
    </font>
    <font>
      <sz val="11"/>
      <color indexed="56"/>
      <name val="Arial"/>
      <family val="2"/>
    </font>
    <font>
      <sz val="10"/>
      <color indexed="30"/>
      <name val="Arial Narrow"/>
      <family val="2"/>
    </font>
    <font>
      <sz val="11"/>
      <color indexed="10"/>
      <name val="Calibri"/>
      <family val="2"/>
    </font>
    <font>
      <sz val="8"/>
      <color indexed="10"/>
      <name val="Arial"/>
      <family val="2"/>
    </font>
    <font>
      <vertAlign val="superscript"/>
      <sz val="11"/>
      <name val="Arial"/>
      <family val="2"/>
    </font>
    <font>
      <sz val="11"/>
      <color indexed="30"/>
      <name val="Arial"/>
      <family val="2"/>
    </font>
    <font>
      <sz val="10"/>
      <color indexed="3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2"/>
    </font>
    <font>
      <b/>
      <sz val="10"/>
      <color indexed="8"/>
      <name val="Calibri"/>
      <family val="2"/>
    </font>
    <font>
      <b/>
      <sz val="11"/>
      <color indexed="8"/>
      <name val="Arial"/>
      <family val="2"/>
    </font>
    <font>
      <b/>
      <sz val="12"/>
      <color indexed="8"/>
      <name val="Calibri"/>
      <family val="2"/>
    </font>
    <font>
      <sz val="9"/>
      <color indexed="8"/>
      <name val="Calibri"/>
      <family val="2"/>
    </font>
    <font>
      <b/>
      <sz val="14"/>
      <color indexed="8"/>
      <name val="Calibri"/>
      <family val="2"/>
    </font>
    <font>
      <sz val="8"/>
      <color indexed="8"/>
      <name val="Arial"/>
      <family val="2"/>
    </font>
    <font>
      <sz val="5.75"/>
      <color indexed="8"/>
      <name val="Arial"/>
      <family val="2"/>
    </font>
    <font>
      <b/>
      <sz val="8"/>
      <color indexed="8"/>
      <name val="Arial"/>
      <family val="2"/>
    </font>
    <font>
      <sz val="8"/>
      <color indexed="8"/>
      <name val="Calibri"/>
      <family val="2"/>
    </font>
    <font>
      <b/>
      <sz val="5.75"/>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theme="0" tint="-0.1499900072813034"/>
      <name val="Arial"/>
      <family val="2"/>
    </font>
    <font>
      <b/>
      <i/>
      <sz val="11"/>
      <color theme="1"/>
      <name val="Arial"/>
      <family val="2"/>
    </font>
    <font>
      <sz val="11"/>
      <color theme="1"/>
      <name val="Arial"/>
      <family val="2"/>
    </font>
    <font>
      <i/>
      <sz val="10"/>
      <color theme="1"/>
      <name val="Arial"/>
      <family val="2"/>
    </font>
    <font>
      <sz val="10"/>
      <color rgb="FFFF0000"/>
      <name val="Arial"/>
      <family val="2"/>
    </font>
    <font>
      <b/>
      <sz val="11"/>
      <color rgb="FFFF0000"/>
      <name val="Arial"/>
      <family val="2"/>
    </font>
    <font>
      <sz val="11"/>
      <color rgb="FFFF0000"/>
      <name val="Arial"/>
      <family val="2"/>
    </font>
    <font>
      <b/>
      <sz val="10"/>
      <color rgb="FFFF0000"/>
      <name val="Arial"/>
      <family val="2"/>
    </font>
    <font>
      <b/>
      <sz val="12"/>
      <color theme="3" tint="0.39998000860214233"/>
      <name val="Arial"/>
      <family val="2"/>
    </font>
    <font>
      <b/>
      <sz val="10"/>
      <color theme="3" tint="0.39998000860214233"/>
      <name val="Arial"/>
      <family val="2"/>
    </font>
    <font>
      <b/>
      <sz val="14"/>
      <color rgb="FFFF0000"/>
      <name val="Arial"/>
      <family val="2"/>
    </font>
    <font>
      <sz val="10"/>
      <color rgb="FFC00000"/>
      <name val="Arial"/>
      <family val="2"/>
    </font>
    <font>
      <sz val="12"/>
      <color theme="3"/>
      <name val="Arial"/>
      <family val="2"/>
    </font>
    <font>
      <sz val="10"/>
      <color theme="4"/>
      <name val="Arial"/>
      <family val="2"/>
    </font>
    <font>
      <sz val="8"/>
      <color theme="4"/>
      <name val="Arial"/>
      <family val="2"/>
    </font>
    <font>
      <sz val="10"/>
      <color rgb="FF0070C0"/>
      <name val="Arial Narrow"/>
      <family val="2"/>
    </font>
    <font>
      <sz val="11"/>
      <color rgb="FF000000"/>
      <name val="Calibri"/>
      <family val="2"/>
    </font>
    <font>
      <sz val="8"/>
      <color rgb="FFFF0000"/>
      <name val="Arial"/>
      <family val="2"/>
    </font>
    <font>
      <sz val="10"/>
      <color rgb="FF0070C0"/>
      <name val="Arial"/>
      <family val="2"/>
    </font>
    <font>
      <sz val="11"/>
      <color theme="3"/>
      <name val="Arial"/>
      <family val="2"/>
    </font>
    <font>
      <sz val="11"/>
      <color rgb="FF0070C0"/>
      <name val="Arial"/>
      <family val="2"/>
    </font>
    <font>
      <sz val="11"/>
      <color theme="4"/>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theme="0"/>
        <bgColor indexed="64"/>
      </patternFill>
    </fill>
    <fill>
      <patternFill patternType="solid">
        <fgColor theme="0" tint="-0.1499900072813034"/>
        <bgColor indexed="64"/>
      </patternFill>
    </fill>
    <fill>
      <patternFill patternType="solid">
        <fgColor theme="2" tint="-0.09996999800205231"/>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tint="0.7999799847602844"/>
        <bgColor indexed="64"/>
      </patternFill>
    </fill>
    <fill>
      <patternFill patternType="solid">
        <fgColor theme="0" tint="-0.24997000396251678"/>
        <bgColor indexed="64"/>
      </patternFill>
    </fill>
    <fill>
      <patternFill patternType="solid">
        <fgColor indexed="22"/>
        <bgColor indexed="64"/>
      </patternFill>
    </fill>
    <fill>
      <patternFill patternType="solid">
        <fgColor theme="3" tint="0.7999799847602844"/>
        <bgColor indexed="64"/>
      </patternFill>
    </fill>
    <fill>
      <patternFill patternType="solid">
        <fgColor theme="2" tint="-0.24997000396251678"/>
        <bgColor indexed="64"/>
      </patternFill>
    </fill>
    <fill>
      <patternFill patternType="lightGray">
        <fgColor indexed="50"/>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top style="thin"/>
      <bottom/>
    </border>
    <border>
      <left/>
      <right style="thin"/>
      <top/>
      <bottom/>
    </border>
    <border>
      <left style="thin"/>
      <right/>
      <top/>
      <bottom/>
    </border>
    <border>
      <left style="thin"/>
      <right/>
      <top/>
      <bottom style="thin"/>
    </border>
    <border>
      <left/>
      <right style="thin"/>
      <top/>
      <bottom style="thin"/>
    </border>
    <border>
      <left/>
      <right/>
      <top/>
      <bottom style="thin"/>
    </border>
    <border>
      <left/>
      <right style="thin"/>
      <top style="thin"/>
      <bottom/>
    </border>
    <border>
      <left/>
      <right/>
      <top style="thin"/>
      <bottom/>
    </border>
    <border>
      <left style="thin"/>
      <right style="thin"/>
      <top/>
      <bottom/>
    </border>
    <border>
      <left style="thin"/>
      <right style="thin"/>
      <top/>
      <bottom style="thin"/>
    </border>
    <border>
      <left/>
      <right/>
      <top style="thin"/>
      <bottom style="thin"/>
    </border>
    <border>
      <left/>
      <right/>
      <top/>
      <bottom style="medium"/>
    </border>
    <border>
      <left style="thin"/>
      <right style="thin"/>
      <top style="medium"/>
      <bottom style="medium"/>
    </border>
    <border>
      <left/>
      <right style="thin"/>
      <top style="medium"/>
      <bottom style="thin"/>
    </border>
    <border>
      <left style="thin"/>
      <right style="thin"/>
      <top style="medium"/>
      <bottom style="thin"/>
    </border>
    <border>
      <left style="thin"/>
      <right style="thin"/>
      <top style="medium"/>
      <bottom/>
    </border>
    <border>
      <left/>
      <right style="thin"/>
      <top/>
      <bottom style="medium"/>
    </border>
    <border>
      <left style="thin"/>
      <right style="thin"/>
      <top/>
      <bottom style="medium"/>
    </border>
    <border>
      <left/>
      <right style="thin"/>
      <top style="medium"/>
      <bottom style="medium"/>
    </border>
    <border>
      <left style="thin"/>
      <right/>
      <top style="medium"/>
      <bottom style="medium"/>
    </border>
    <border>
      <left style="thin"/>
      <right style="thin"/>
      <top style="thin"/>
      <bottom style="medium"/>
    </border>
    <border>
      <left style="thin"/>
      <right/>
      <top style="thin"/>
      <bottom style="medium"/>
    </border>
    <border>
      <left/>
      <right style="thin"/>
      <top style="thin"/>
      <bottom style="medium"/>
    </border>
    <border>
      <left/>
      <right/>
      <top style="medium"/>
      <bottom style="thin"/>
    </border>
    <border>
      <left style="thin"/>
      <right/>
      <top/>
      <bottom style="medium"/>
    </border>
    <border>
      <left/>
      <right style="thin"/>
      <top style="medium"/>
      <bottom/>
    </border>
    <border>
      <left style="thin"/>
      <right/>
      <top style="medium"/>
      <bottom/>
    </border>
    <border>
      <left/>
      <right/>
      <top style="medium"/>
      <bottom style="medium"/>
    </border>
    <border>
      <left/>
      <right/>
      <top style="thin"/>
      <bottom style="medium"/>
    </border>
    <border>
      <left/>
      <right/>
      <top style="medium"/>
      <bottom/>
    </border>
    <border>
      <left style="medium"/>
      <right style="thin"/>
      <top/>
      <bottom/>
    </border>
    <border>
      <left style="medium"/>
      <right style="thin"/>
      <top/>
      <bottom style="thin"/>
    </border>
    <border>
      <left style="medium"/>
      <right style="thin"/>
      <top style="thin"/>
      <bottom style="thin"/>
    </border>
    <border>
      <left style="thin"/>
      <right style="medium"/>
      <top style="thin"/>
      <bottom style="thin"/>
    </border>
    <border>
      <left style="medium"/>
      <right style="thin"/>
      <top/>
      <bottom style="hair"/>
    </border>
    <border>
      <left/>
      <right style="medium"/>
      <top/>
      <bottom style="thin"/>
    </border>
    <border>
      <left style="medium"/>
      <right style="thin"/>
      <top style="medium"/>
      <bottom style="thin"/>
    </border>
    <border>
      <left style="thin"/>
      <right/>
      <top style="medium"/>
      <bottom style="thin"/>
    </border>
    <border>
      <left style="thin"/>
      <right style="medium"/>
      <top style="medium"/>
      <bottom style="thin"/>
    </border>
    <border>
      <left style="thin"/>
      <right style="medium"/>
      <top/>
      <bottom style="thin"/>
    </border>
    <border>
      <left style="medium"/>
      <right style="thin"/>
      <top/>
      <bottom style="medium"/>
    </border>
    <border>
      <left style="thin"/>
      <right style="medium"/>
      <top/>
      <bottom style="medium"/>
    </border>
    <border>
      <left/>
      <right style="thin">
        <color indexed="8"/>
      </right>
      <top/>
      <bottom style="medium"/>
    </border>
    <border>
      <left style="medium"/>
      <right/>
      <top/>
      <bottom style="medium"/>
    </border>
    <border>
      <left style="thin">
        <color indexed="8"/>
      </left>
      <right/>
      <top/>
      <bottom style="medium"/>
    </border>
    <border>
      <left/>
      <right style="medium"/>
      <top/>
      <bottom/>
    </border>
    <border>
      <left style="medium"/>
      <right style="thin"/>
      <top style="thin"/>
      <bottom/>
    </border>
    <border>
      <left/>
      <right style="medium"/>
      <top style="thin"/>
      <bottom style="thin"/>
    </border>
    <border>
      <left style="thin"/>
      <right style="medium"/>
      <top/>
      <bottom/>
    </border>
    <border>
      <left style="medium"/>
      <right style="thin"/>
      <top style="thin"/>
      <bottom style="medium"/>
    </border>
    <border>
      <left style="thin"/>
      <right style="medium"/>
      <top style="thin"/>
      <bottom style="medium"/>
    </border>
    <border>
      <left style="thin"/>
      <right style="thin">
        <color indexed="8"/>
      </right>
      <top/>
      <bottom style="medium"/>
    </border>
    <border>
      <left/>
      <right style="medium"/>
      <top style="medium"/>
      <bottom style="thin"/>
    </border>
    <border>
      <left/>
      <right style="medium"/>
      <top style="thin"/>
      <bottom/>
    </border>
    <border>
      <left/>
      <right style="medium"/>
      <top/>
      <bottom style="medium"/>
    </border>
    <border>
      <left style="thin">
        <color indexed="8"/>
      </left>
      <right style="thin">
        <color indexed="8"/>
      </right>
      <top style="thin">
        <color indexed="8"/>
      </top>
      <bottom style="thin">
        <color indexed="8"/>
      </bottom>
    </border>
    <border>
      <left style="medium"/>
      <right/>
      <top style="medium"/>
      <bottom style="medium"/>
    </border>
    <border>
      <left/>
      <right style="medium"/>
      <top style="medium"/>
      <bottom style="medium"/>
    </border>
    <border>
      <left style="medium"/>
      <right/>
      <top style="medium"/>
      <bottom/>
    </border>
    <border>
      <left/>
      <right style="medium"/>
      <top style="medium"/>
      <bottom/>
    </border>
    <border>
      <left style="medium"/>
      <right/>
      <top/>
      <bottom style="thin"/>
    </border>
    <border>
      <left style="medium"/>
      <right style="thin"/>
      <top style="medium"/>
      <bottom/>
    </border>
    <border>
      <left style="thin"/>
      <right style="medium"/>
      <top style="medium"/>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8" fillId="20" borderId="0" applyNumberFormat="0" applyBorder="0" applyAlignment="0" applyProtection="0"/>
    <xf numFmtId="0" fontId="99" fillId="21" borderId="1" applyNumberFormat="0" applyAlignment="0" applyProtection="0"/>
    <xf numFmtId="0" fontId="100" fillId="22" borderId="2" applyNumberFormat="0" applyAlignment="0" applyProtection="0"/>
    <xf numFmtId="0" fontId="101" fillId="0" borderId="3" applyNumberFormat="0" applyFill="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7" fillId="26" borderId="0" applyNumberFormat="0" applyBorder="0" applyAlignment="0" applyProtection="0"/>
    <xf numFmtId="0" fontId="97" fillId="27" borderId="0" applyNumberFormat="0" applyBorder="0" applyAlignment="0" applyProtection="0"/>
    <xf numFmtId="0" fontId="97" fillId="28" borderId="0" applyNumberFormat="0" applyBorder="0" applyAlignment="0" applyProtection="0"/>
    <xf numFmtId="0" fontId="102" fillId="29" borderId="1" applyNumberFormat="0" applyAlignment="0" applyProtection="0"/>
    <xf numFmtId="0" fontId="40" fillId="0" borderId="0" applyNumberFormat="0" applyFill="0" applyBorder="0" applyAlignment="0" applyProtection="0"/>
    <xf numFmtId="0" fontId="25" fillId="0" borderId="0" applyNumberFormat="0" applyFill="0" applyBorder="0" applyAlignment="0" applyProtection="0"/>
    <xf numFmtId="0" fontId="103"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protection/>
    </xf>
    <xf numFmtId="0" fontId="12" fillId="0" borderId="0">
      <alignment/>
      <protection/>
    </xf>
    <xf numFmtId="0" fontId="12" fillId="0" borderId="0">
      <alignment/>
      <protection/>
    </xf>
    <xf numFmtId="0" fontId="0" fillId="32" borderId="4" applyNumberFormat="0" applyFont="0" applyAlignment="0" applyProtection="0"/>
    <xf numFmtId="9" fontId="0" fillId="0" borderId="0" applyFont="0" applyFill="0" applyBorder="0" applyAlignment="0" applyProtection="0"/>
    <xf numFmtId="0" fontId="105" fillId="21" borderId="5" applyNumberFormat="0" applyAlignment="0" applyProtection="0"/>
    <xf numFmtId="41" fontId="0" fillId="0" borderId="0" applyFont="0" applyFill="0" applyBorder="0" applyAlignment="0" applyProtection="0"/>
    <xf numFmtId="43" fontId="13" fillId="0" borderId="0" applyFon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9" fillId="0" borderId="6" applyNumberFormat="0" applyFill="0" applyAlignment="0" applyProtection="0"/>
    <xf numFmtId="0" fontId="110" fillId="0" borderId="7" applyNumberFormat="0" applyFill="0" applyAlignment="0" applyProtection="0"/>
    <xf numFmtId="0" fontId="111" fillId="0" borderId="8" applyNumberFormat="0" applyFill="0" applyAlignment="0" applyProtection="0"/>
    <xf numFmtId="0" fontId="111" fillId="0" borderId="0" applyNumberFormat="0" applyFill="0" applyBorder="0" applyAlignment="0" applyProtection="0"/>
    <xf numFmtId="0" fontId="112" fillId="0" borderId="9" applyNumberFormat="0" applyFill="0" applyAlignment="0" applyProtection="0"/>
    <xf numFmtId="164" fontId="0" fillId="0" borderId="0" applyFont="0" applyFill="0" applyBorder="0" applyAlignment="0" applyProtection="0"/>
    <xf numFmtId="43" fontId="0" fillId="0" borderId="0" applyFont="0" applyFill="0" applyBorder="0" applyAlignment="0" applyProtection="0"/>
  </cellStyleXfs>
  <cellXfs count="1567">
    <xf numFmtId="0" fontId="0" fillId="0" borderId="0" xfId="0" applyAlignment="1">
      <alignment/>
    </xf>
    <xf numFmtId="0" fontId="4" fillId="0" borderId="0" xfId="0" applyFont="1" applyAlignment="1">
      <alignment/>
    </xf>
    <xf numFmtId="0" fontId="5" fillId="0" borderId="0" xfId="0" applyFont="1" applyAlignment="1">
      <alignment/>
    </xf>
    <xf numFmtId="0" fontId="0" fillId="0" borderId="0" xfId="0" applyFont="1" applyAlignment="1">
      <alignment/>
    </xf>
    <xf numFmtId="0" fontId="0" fillId="0" borderId="0" xfId="0" applyBorder="1" applyAlignment="1">
      <alignment/>
    </xf>
    <xf numFmtId="0" fontId="0" fillId="33" borderId="0" xfId="0" applyFill="1" applyAlignment="1">
      <alignment/>
    </xf>
    <xf numFmtId="0" fontId="0" fillId="0" borderId="0" xfId="0" applyFont="1" applyBorder="1" applyAlignment="1">
      <alignment/>
    </xf>
    <xf numFmtId="170" fontId="0" fillId="0" borderId="10" xfId="61" applyNumberFormat="1" applyFont="1" applyBorder="1" applyAlignment="1">
      <alignment/>
    </xf>
    <xf numFmtId="170" fontId="0" fillId="0" borderId="11" xfId="61" applyNumberFormat="1" applyFont="1" applyBorder="1" applyAlignment="1">
      <alignment/>
    </xf>
    <xf numFmtId="170" fontId="0" fillId="0" borderId="10" xfId="70" applyNumberFormat="1" applyFont="1" applyBorder="1" applyAlignment="1">
      <alignment/>
    </xf>
    <xf numFmtId="2" fontId="0" fillId="0" borderId="0" xfId="0" applyNumberFormat="1" applyFont="1" applyBorder="1" applyAlignment="1">
      <alignment horizontal="center"/>
    </xf>
    <xf numFmtId="49" fontId="18" fillId="34" borderId="11" xfId="55" applyNumberFormat="1" applyFont="1" applyFill="1" applyBorder="1" applyAlignment="1">
      <alignment horizontal="center" vertical="center" wrapText="1"/>
      <protection/>
    </xf>
    <xf numFmtId="49" fontId="18" fillId="34" borderId="10" xfId="55" applyNumberFormat="1" applyFont="1" applyFill="1" applyBorder="1" applyAlignment="1">
      <alignment horizontal="center" vertical="center" wrapText="1"/>
      <protection/>
    </xf>
    <xf numFmtId="49" fontId="24" fillId="34" borderId="12" xfId="56" applyNumberFormat="1" applyFont="1" applyFill="1" applyBorder="1" applyAlignment="1">
      <alignment horizontal="left" vertical="center" indent="1"/>
      <protection/>
    </xf>
    <xf numFmtId="49" fontId="24" fillId="34" borderId="10" xfId="56" applyNumberFormat="1" applyFont="1" applyFill="1" applyBorder="1" applyAlignment="1">
      <alignment horizontal="left" vertical="center" indent="1"/>
      <protection/>
    </xf>
    <xf numFmtId="168" fontId="0" fillId="0" borderId="12" xfId="70" applyNumberFormat="1" applyFont="1" applyBorder="1" applyAlignment="1">
      <alignment horizontal="left" vertical="center"/>
    </xf>
    <xf numFmtId="168" fontId="0" fillId="0" borderId="10" xfId="70" applyNumberFormat="1" applyFont="1" applyBorder="1" applyAlignment="1">
      <alignment horizontal="center" vertical="center"/>
    </xf>
    <xf numFmtId="1" fontId="0" fillId="0" borderId="0" xfId="0" applyNumberFormat="1" applyFont="1" applyAlignment="1">
      <alignment/>
    </xf>
    <xf numFmtId="168" fontId="0" fillId="0" borderId="12" xfId="70" applyNumberFormat="1" applyFont="1" applyBorder="1" applyAlignment="1">
      <alignment/>
    </xf>
    <xf numFmtId="168" fontId="0" fillId="0" borderId="10" xfId="70" applyNumberFormat="1" applyFont="1" applyBorder="1" applyAlignment="1">
      <alignment/>
    </xf>
    <xf numFmtId="168" fontId="0" fillId="0" borderId="12" xfId="70" applyNumberFormat="1" applyFont="1" applyBorder="1" applyAlignment="1">
      <alignment horizontal="left"/>
    </xf>
    <xf numFmtId="1" fontId="0" fillId="0" borderId="0" xfId="0" applyNumberFormat="1" applyFont="1" applyBorder="1" applyAlignment="1">
      <alignment/>
    </xf>
    <xf numFmtId="0" fontId="19" fillId="0" borderId="0" xfId="0" applyFont="1" applyBorder="1" applyAlignment="1">
      <alignment/>
    </xf>
    <xf numFmtId="168" fontId="0" fillId="33" borderId="10" xfId="70" applyNumberFormat="1" applyFont="1" applyFill="1" applyBorder="1" applyAlignment="1" quotePrefix="1">
      <alignment horizontal="right"/>
    </xf>
    <xf numFmtId="0" fontId="0" fillId="33" borderId="12" xfId="0" applyFont="1" applyFill="1" applyBorder="1" applyAlignment="1">
      <alignment/>
    </xf>
    <xf numFmtId="168" fontId="0" fillId="33" borderId="10" xfId="70" applyNumberFormat="1" applyFont="1" applyFill="1" applyBorder="1" applyAlignment="1">
      <alignment/>
    </xf>
    <xf numFmtId="0" fontId="0" fillId="0" borderId="0" xfId="0" applyFont="1" applyFill="1" applyBorder="1" applyAlignment="1">
      <alignment/>
    </xf>
    <xf numFmtId="0" fontId="0" fillId="0" borderId="0" xfId="0" applyFont="1" applyAlignment="1">
      <alignment vertical="center"/>
    </xf>
    <xf numFmtId="0" fontId="4" fillId="0" borderId="0" xfId="0" applyFont="1" applyFill="1" applyAlignment="1">
      <alignment/>
    </xf>
    <xf numFmtId="0" fontId="0" fillId="0" borderId="0" xfId="0" applyFont="1" applyFill="1" applyAlignment="1">
      <alignment/>
    </xf>
    <xf numFmtId="0" fontId="18" fillId="35" borderId="13" xfId="0" applyFont="1" applyFill="1" applyBorder="1" applyAlignment="1">
      <alignment horizontal="center" vertical="center"/>
    </xf>
    <xf numFmtId="0" fontId="18" fillId="35" borderId="10" xfId="0" applyFont="1" applyFill="1" applyBorder="1" applyAlignment="1">
      <alignment horizontal="center" vertical="center"/>
    </xf>
    <xf numFmtId="0" fontId="18" fillId="35" borderId="11" xfId="0" applyFont="1" applyFill="1" applyBorder="1" applyAlignment="1">
      <alignment horizontal="center" vertical="center"/>
    </xf>
    <xf numFmtId="168" fontId="0" fillId="0" borderId="14" xfId="70" applyNumberFormat="1" applyFont="1" applyFill="1" applyBorder="1" applyAlignment="1">
      <alignment/>
    </xf>
    <xf numFmtId="164" fontId="0" fillId="0" borderId="15" xfId="70" applyNumberFormat="1" applyFont="1" applyFill="1" applyBorder="1" applyAlignment="1">
      <alignment/>
    </xf>
    <xf numFmtId="164" fontId="0" fillId="0" borderId="0" xfId="70" applyNumberFormat="1" applyFont="1" applyFill="1" applyBorder="1" applyAlignment="1">
      <alignment/>
    </xf>
    <xf numFmtId="164" fontId="4" fillId="0" borderId="0" xfId="0" applyNumberFormat="1" applyFont="1" applyFill="1" applyAlignment="1">
      <alignment/>
    </xf>
    <xf numFmtId="168" fontId="0" fillId="0" borderId="16" xfId="70" applyNumberFormat="1" applyFont="1" applyFill="1" applyBorder="1" applyAlignment="1">
      <alignment/>
    </xf>
    <xf numFmtId="168" fontId="0" fillId="0" borderId="17" xfId="70" applyNumberFormat="1" applyFont="1" applyFill="1" applyBorder="1" applyAlignment="1">
      <alignment/>
    </xf>
    <xf numFmtId="164" fontId="0" fillId="0" borderId="18" xfId="70" applyNumberFormat="1" applyFont="1" applyFill="1" applyBorder="1" applyAlignment="1">
      <alignment/>
    </xf>
    <xf numFmtId="164" fontId="0" fillId="0" borderId="19" xfId="70" applyNumberFormat="1" applyFont="1" applyFill="1" applyBorder="1" applyAlignment="1">
      <alignment/>
    </xf>
    <xf numFmtId="0" fontId="20" fillId="0" borderId="0" xfId="0" applyFont="1" applyFill="1" applyBorder="1" applyAlignment="1">
      <alignment/>
    </xf>
    <xf numFmtId="0" fontId="32" fillId="0" borderId="0" xfId="0" applyFont="1" applyFill="1" applyBorder="1" applyAlignment="1">
      <alignment horizontal="left" vertical="center"/>
    </xf>
    <xf numFmtId="0" fontId="18" fillId="35" borderId="14" xfId="0" applyFont="1" applyFill="1" applyBorder="1" applyAlignment="1">
      <alignment horizontal="center" vertical="center"/>
    </xf>
    <xf numFmtId="164" fontId="0" fillId="0" borderId="20" xfId="70" applyNumberFormat="1" applyFont="1" applyFill="1" applyBorder="1" applyAlignment="1">
      <alignment/>
    </xf>
    <xf numFmtId="164" fontId="0" fillId="0" borderId="21" xfId="70" applyNumberFormat="1" applyFont="1" applyFill="1" applyBorder="1" applyAlignment="1">
      <alignment/>
    </xf>
    <xf numFmtId="168" fontId="0" fillId="0" borderId="16" xfId="70" applyNumberFormat="1" applyFont="1" applyFill="1" applyBorder="1" applyAlignment="1">
      <alignment horizontal="center"/>
    </xf>
    <xf numFmtId="0" fontId="20" fillId="0" borderId="0" xfId="0" applyFont="1" applyFill="1" applyBorder="1" applyAlignment="1">
      <alignment horizontal="left" vertical="center"/>
    </xf>
    <xf numFmtId="0" fontId="0" fillId="0" borderId="0" xfId="0" applyFont="1" applyFill="1" applyBorder="1" applyAlignment="1">
      <alignment horizontal="left" vertical="center"/>
    </xf>
    <xf numFmtId="0" fontId="21" fillId="0" borderId="0" xfId="0" applyFont="1" applyFill="1" applyBorder="1" applyAlignment="1">
      <alignment horizontal="left" vertical="center"/>
    </xf>
    <xf numFmtId="0" fontId="4" fillId="0" borderId="0" xfId="0" applyFont="1" applyFill="1" applyBorder="1" applyAlignment="1">
      <alignment/>
    </xf>
    <xf numFmtId="166" fontId="4" fillId="0" borderId="0" xfId="70" applyNumberFormat="1" applyFont="1" applyFill="1" applyBorder="1" applyAlignment="1">
      <alignment/>
    </xf>
    <xf numFmtId="0" fontId="15" fillId="36" borderId="13" xfId="0" applyFont="1" applyFill="1" applyBorder="1" applyAlignment="1">
      <alignment horizontal="center"/>
    </xf>
    <xf numFmtId="0" fontId="14" fillId="36" borderId="22" xfId="0" applyFont="1" applyFill="1" applyBorder="1" applyAlignment="1">
      <alignment/>
    </xf>
    <xf numFmtId="0" fontId="14" fillId="36" borderId="13" xfId="0" applyFont="1" applyFill="1" applyBorder="1" applyAlignment="1">
      <alignment/>
    </xf>
    <xf numFmtId="0" fontId="14" fillId="36" borderId="23" xfId="0" applyFont="1" applyFill="1" applyBorder="1" applyAlignment="1">
      <alignment/>
    </xf>
    <xf numFmtId="0" fontId="9" fillId="37" borderId="0" xfId="0" applyFont="1" applyFill="1" applyAlignment="1">
      <alignment/>
    </xf>
    <xf numFmtId="0" fontId="0" fillId="37" borderId="0" xfId="0" applyFill="1" applyAlignment="1">
      <alignment/>
    </xf>
    <xf numFmtId="0" fontId="0" fillId="37" borderId="0" xfId="0" applyFill="1" applyBorder="1" applyAlignment="1">
      <alignment/>
    </xf>
    <xf numFmtId="0" fontId="0" fillId="37" borderId="0" xfId="0" applyFont="1" applyFill="1" applyAlignment="1">
      <alignment/>
    </xf>
    <xf numFmtId="0" fontId="0" fillId="37" borderId="15" xfId="0" applyFill="1" applyBorder="1" applyAlignment="1">
      <alignment/>
    </xf>
    <xf numFmtId="0" fontId="16" fillId="37" borderId="0" xfId="0" applyFont="1" applyFill="1" applyAlignment="1">
      <alignment/>
    </xf>
    <xf numFmtId="0" fontId="15" fillId="37" borderId="0" xfId="0" applyFont="1" applyFill="1" applyAlignment="1">
      <alignment/>
    </xf>
    <xf numFmtId="0" fontId="14" fillId="16" borderId="14" xfId="0" applyFont="1" applyFill="1" applyBorder="1" applyAlignment="1">
      <alignment/>
    </xf>
    <xf numFmtId="0" fontId="15" fillId="16" borderId="20" xfId="0" applyFont="1" applyFill="1" applyBorder="1" applyAlignment="1">
      <alignment/>
    </xf>
    <xf numFmtId="0" fontId="15" fillId="16" borderId="17" xfId="0" applyFont="1" applyFill="1" applyBorder="1" applyAlignment="1">
      <alignment/>
    </xf>
    <xf numFmtId="0" fontId="15" fillId="16" borderId="19" xfId="0" applyFont="1" applyFill="1" applyBorder="1" applyAlignment="1">
      <alignment/>
    </xf>
    <xf numFmtId="0" fontId="15" fillId="16" borderId="18" xfId="0" applyFont="1" applyFill="1" applyBorder="1" applyAlignment="1">
      <alignment/>
    </xf>
    <xf numFmtId="0" fontId="15" fillId="16" borderId="20" xfId="0" applyFont="1" applyFill="1" applyBorder="1" applyAlignment="1">
      <alignment horizontal="center"/>
    </xf>
    <xf numFmtId="0" fontId="15" fillId="16" borderId="13" xfId="0" applyFont="1" applyFill="1" applyBorder="1" applyAlignment="1">
      <alignment horizontal="center"/>
    </xf>
    <xf numFmtId="0" fontId="15" fillId="16" borderId="15" xfId="0" applyFont="1" applyFill="1" applyBorder="1" applyAlignment="1">
      <alignment horizontal="center"/>
    </xf>
    <xf numFmtId="0" fontId="15" fillId="16" borderId="23" xfId="0" applyFont="1" applyFill="1" applyBorder="1" applyAlignment="1">
      <alignment horizontal="center"/>
    </xf>
    <xf numFmtId="0" fontId="15" fillId="16" borderId="18" xfId="0" applyFont="1" applyFill="1" applyBorder="1" applyAlignment="1">
      <alignment horizontal="center"/>
    </xf>
    <xf numFmtId="0" fontId="15" fillId="16" borderId="22" xfId="0" applyFont="1" applyFill="1" applyBorder="1" applyAlignment="1">
      <alignment/>
    </xf>
    <xf numFmtId="0" fontId="14" fillId="16" borderId="17" xfId="0" applyFont="1" applyFill="1" applyBorder="1" applyAlignment="1">
      <alignment/>
    </xf>
    <xf numFmtId="0" fontId="0" fillId="16" borderId="13" xfId="0" applyFont="1" applyFill="1" applyBorder="1" applyAlignment="1">
      <alignment/>
    </xf>
    <xf numFmtId="0" fontId="0" fillId="16" borderId="15" xfId="0" applyFont="1" applyFill="1" applyBorder="1" applyAlignment="1">
      <alignment/>
    </xf>
    <xf numFmtId="0" fontId="14" fillId="16" borderId="22" xfId="0" applyFont="1" applyFill="1" applyBorder="1" applyAlignment="1">
      <alignment/>
    </xf>
    <xf numFmtId="0" fontId="15" fillId="16" borderId="22" xfId="0" applyFont="1" applyFill="1" applyBorder="1" applyAlignment="1">
      <alignment horizontal="center"/>
    </xf>
    <xf numFmtId="164" fontId="15" fillId="16" borderId="22" xfId="70" applyFont="1" applyFill="1" applyBorder="1" applyAlignment="1">
      <alignment/>
    </xf>
    <xf numFmtId="164" fontId="15" fillId="16" borderId="22" xfId="70" applyNumberFormat="1" applyFont="1" applyFill="1" applyBorder="1" applyAlignment="1">
      <alignment/>
    </xf>
    <xf numFmtId="164" fontId="15" fillId="16" borderId="22" xfId="70" applyNumberFormat="1" applyFont="1" applyFill="1" applyBorder="1" applyAlignment="1">
      <alignment vertical="center"/>
    </xf>
    <xf numFmtId="164" fontId="14" fillId="16" borderId="15" xfId="70" applyFont="1" applyFill="1" applyBorder="1" applyAlignment="1">
      <alignment vertical="center"/>
    </xf>
    <xf numFmtId="0" fontId="15" fillId="16" borderId="23" xfId="0" applyFont="1" applyFill="1" applyBorder="1" applyAlignment="1">
      <alignment/>
    </xf>
    <xf numFmtId="164" fontId="15" fillId="16" borderId="23" xfId="70" applyNumberFormat="1" applyFont="1" applyFill="1" applyBorder="1" applyAlignment="1">
      <alignment/>
    </xf>
    <xf numFmtId="164" fontId="15" fillId="16" borderId="23" xfId="70" applyNumberFormat="1" applyFont="1" applyFill="1" applyBorder="1" applyAlignment="1">
      <alignment vertical="center"/>
    </xf>
    <xf numFmtId="0" fontId="15" fillId="16" borderId="19" xfId="0" applyFont="1" applyFill="1" applyBorder="1" applyAlignment="1">
      <alignment horizontal="center"/>
    </xf>
    <xf numFmtId="0" fontId="15" fillId="16" borderId="18" xfId="0" applyFont="1" applyFill="1" applyBorder="1" applyAlignment="1">
      <alignment vertical="center"/>
    </xf>
    <xf numFmtId="0" fontId="0" fillId="16" borderId="22" xfId="0" applyFont="1" applyFill="1" applyBorder="1" applyAlignment="1">
      <alignment/>
    </xf>
    <xf numFmtId="0" fontId="14" fillId="16" borderId="22" xfId="0" applyFont="1" applyFill="1" applyBorder="1" applyAlignment="1">
      <alignment horizontal="center"/>
    </xf>
    <xf numFmtId="0" fontId="14" fillId="16" borderId="11" xfId="0" applyFont="1" applyFill="1" applyBorder="1" applyAlignment="1">
      <alignment/>
    </xf>
    <xf numFmtId="0" fontId="15" fillId="16" borderId="24" xfId="0" applyFont="1" applyFill="1" applyBorder="1" applyAlignment="1">
      <alignment horizontal="center"/>
    </xf>
    <xf numFmtId="0" fontId="15" fillId="16" borderId="24" xfId="0" applyFont="1" applyFill="1" applyBorder="1" applyAlignment="1">
      <alignment/>
    </xf>
    <xf numFmtId="0" fontId="15" fillId="16" borderId="12" xfId="0" applyFont="1" applyFill="1" applyBorder="1" applyAlignment="1">
      <alignment vertical="center"/>
    </xf>
    <xf numFmtId="0" fontId="15" fillId="16" borderId="16" xfId="0" applyFont="1" applyFill="1" applyBorder="1" applyAlignment="1">
      <alignment/>
    </xf>
    <xf numFmtId="0" fontId="6" fillId="16" borderId="0" xfId="0" applyFont="1" applyFill="1" applyBorder="1" applyAlignment="1">
      <alignment horizontal="center"/>
    </xf>
    <xf numFmtId="0" fontId="6" fillId="16" borderId="15" xfId="0" applyFont="1" applyFill="1" applyBorder="1" applyAlignment="1">
      <alignment horizontal="center"/>
    </xf>
    <xf numFmtId="0" fontId="6" fillId="16" borderId="16" xfId="0" applyFont="1" applyFill="1" applyBorder="1" applyAlignment="1">
      <alignment/>
    </xf>
    <xf numFmtId="0" fontId="17" fillId="16" borderId="0" xfId="0" applyFont="1" applyFill="1" applyBorder="1" applyAlignment="1">
      <alignment/>
    </xf>
    <xf numFmtId="0" fontId="4" fillId="16" borderId="0" xfId="0" applyFont="1" applyFill="1" applyBorder="1" applyAlignment="1">
      <alignment/>
    </xf>
    <xf numFmtId="0" fontId="2" fillId="16" borderId="15" xfId="0" applyFont="1" applyFill="1" applyBorder="1" applyAlignment="1">
      <alignment/>
    </xf>
    <xf numFmtId="0" fontId="2" fillId="16" borderId="16" xfId="0" applyFont="1" applyFill="1" applyBorder="1" applyAlignment="1">
      <alignment/>
    </xf>
    <xf numFmtId="0" fontId="10" fillId="16" borderId="15" xfId="0" applyFont="1" applyFill="1" applyBorder="1" applyAlignment="1">
      <alignment horizontal="right"/>
    </xf>
    <xf numFmtId="166" fontId="4" fillId="16" borderId="15" xfId="70" applyNumberFormat="1" applyFont="1" applyFill="1" applyBorder="1" applyAlignment="1">
      <alignment/>
    </xf>
    <xf numFmtId="166" fontId="4" fillId="16" borderId="0" xfId="70" applyNumberFormat="1" applyFont="1" applyFill="1" applyBorder="1" applyAlignment="1">
      <alignment/>
    </xf>
    <xf numFmtId="0" fontId="2" fillId="16" borderId="15" xfId="0" applyFont="1" applyFill="1" applyBorder="1" applyAlignment="1">
      <alignment horizontal="center"/>
    </xf>
    <xf numFmtId="0" fontId="4" fillId="16" borderId="15" xfId="0" applyFont="1" applyFill="1" applyBorder="1" applyAlignment="1">
      <alignment/>
    </xf>
    <xf numFmtId="2" fontId="2" fillId="16" borderId="15" xfId="0" applyNumberFormat="1" applyFont="1" applyFill="1" applyBorder="1" applyAlignment="1">
      <alignment horizontal="center"/>
    </xf>
    <xf numFmtId="0" fontId="10" fillId="16" borderId="16" xfId="0" applyFont="1" applyFill="1" applyBorder="1" applyAlignment="1">
      <alignment/>
    </xf>
    <xf numFmtId="0" fontId="10" fillId="16" borderId="15" xfId="0" applyFont="1" applyFill="1" applyBorder="1" applyAlignment="1">
      <alignment/>
    </xf>
    <xf numFmtId="166" fontId="4" fillId="16" borderId="0" xfId="0" applyNumberFormat="1" applyFont="1" applyFill="1" applyBorder="1" applyAlignment="1">
      <alignment horizontal="center" vertical="center"/>
    </xf>
    <xf numFmtId="0" fontId="0" fillId="16" borderId="17" xfId="0" applyFill="1" applyBorder="1" applyAlignment="1">
      <alignment/>
    </xf>
    <xf numFmtId="0" fontId="0" fillId="16" borderId="19" xfId="0" applyFont="1" applyFill="1" applyBorder="1" applyAlignment="1">
      <alignment/>
    </xf>
    <xf numFmtId="0" fontId="0" fillId="16" borderId="19" xfId="0" applyFill="1" applyBorder="1" applyAlignment="1">
      <alignment/>
    </xf>
    <xf numFmtId="0" fontId="113" fillId="0" borderId="0" xfId="0" applyFont="1" applyAlignment="1">
      <alignment/>
    </xf>
    <xf numFmtId="0" fontId="0" fillId="37" borderId="16" xfId="0" applyFill="1" applyBorder="1" applyAlignment="1">
      <alignment/>
    </xf>
    <xf numFmtId="0" fontId="0" fillId="37" borderId="21" xfId="0" applyFill="1" applyBorder="1" applyAlignment="1">
      <alignment/>
    </xf>
    <xf numFmtId="0" fontId="4" fillId="16" borderId="0" xfId="0" applyFont="1" applyFill="1" applyBorder="1" applyAlignment="1">
      <alignment vertical="center"/>
    </xf>
    <xf numFmtId="166" fontId="4" fillId="16" borderId="0" xfId="70" applyNumberFormat="1" applyFont="1" applyFill="1" applyBorder="1" applyAlignment="1">
      <alignment horizontal="center" vertical="center"/>
    </xf>
    <xf numFmtId="0" fontId="15" fillId="36" borderId="10" xfId="0" applyFont="1" applyFill="1" applyBorder="1" applyAlignment="1">
      <alignment horizontal="center"/>
    </xf>
    <xf numFmtId="0" fontId="0" fillId="36" borderId="10" xfId="0" applyFill="1" applyBorder="1" applyAlignment="1">
      <alignment/>
    </xf>
    <xf numFmtId="174" fontId="33" fillId="0" borderId="0" xfId="0" applyNumberFormat="1" applyFont="1" applyBorder="1" applyAlignment="1">
      <alignment horizontal="center"/>
    </xf>
    <xf numFmtId="16" fontId="34" fillId="0" borderId="0" xfId="0" applyNumberFormat="1" applyFont="1" applyBorder="1" applyAlignment="1">
      <alignment horizontal="center"/>
    </xf>
    <xf numFmtId="0" fontId="33" fillId="0" borderId="0" xfId="0" applyNumberFormat="1" applyFont="1" applyBorder="1" applyAlignment="1">
      <alignment horizontal="center"/>
    </xf>
    <xf numFmtId="16" fontId="33" fillId="0" borderId="0" xfId="0" applyNumberFormat="1" applyFont="1" applyBorder="1" applyAlignment="1" quotePrefix="1">
      <alignment horizontal="center"/>
    </xf>
    <xf numFmtId="0" fontId="0" fillId="16" borderId="0" xfId="0" applyFill="1" applyBorder="1" applyAlignment="1">
      <alignment/>
    </xf>
    <xf numFmtId="0" fontId="3" fillId="16" borderId="16" xfId="0" applyFont="1" applyFill="1" applyBorder="1" applyAlignment="1">
      <alignment horizontal="center"/>
    </xf>
    <xf numFmtId="0" fontId="13" fillId="16" borderId="0" xfId="53" applyFont="1" applyFill="1" applyBorder="1">
      <alignment/>
      <protection/>
    </xf>
    <xf numFmtId="0" fontId="0" fillId="16" borderId="0" xfId="53" applyFont="1" applyFill="1" applyBorder="1">
      <alignment/>
      <protection/>
    </xf>
    <xf numFmtId="166" fontId="4" fillId="16" borderId="15" xfId="0" applyNumberFormat="1" applyFont="1" applyFill="1" applyBorder="1" applyAlignment="1">
      <alignment horizontal="center" vertical="center"/>
    </xf>
    <xf numFmtId="0" fontId="0" fillId="16" borderId="15" xfId="0" applyFill="1" applyBorder="1" applyAlignment="1">
      <alignment/>
    </xf>
    <xf numFmtId="0" fontId="0" fillId="16" borderId="18" xfId="0" applyFill="1" applyBorder="1" applyAlignment="1">
      <alignment/>
    </xf>
    <xf numFmtId="0" fontId="0" fillId="38" borderId="0" xfId="0" applyFill="1" applyAlignment="1">
      <alignment/>
    </xf>
    <xf numFmtId="0" fontId="0" fillId="16" borderId="0" xfId="0" applyFont="1" applyFill="1" applyBorder="1" applyAlignment="1">
      <alignment/>
    </xf>
    <xf numFmtId="2" fontId="0" fillId="16" borderId="0" xfId="0" applyNumberFormat="1" applyFont="1" applyFill="1" applyBorder="1" applyAlignment="1">
      <alignment/>
    </xf>
    <xf numFmtId="0" fontId="19" fillId="16" borderId="0" xfId="0" applyFont="1" applyFill="1" applyBorder="1" applyAlignment="1">
      <alignment horizontal="center"/>
    </xf>
    <xf numFmtId="0" fontId="7" fillId="16" borderId="16" xfId="0" applyFont="1" applyFill="1" applyBorder="1" applyAlignment="1">
      <alignment/>
    </xf>
    <xf numFmtId="0" fontId="7" fillId="16" borderId="0" xfId="0" applyFont="1" applyFill="1" applyBorder="1" applyAlignment="1">
      <alignment/>
    </xf>
    <xf numFmtId="0" fontId="0" fillId="16" borderId="16" xfId="0" applyFont="1" applyFill="1" applyBorder="1" applyAlignment="1">
      <alignment/>
    </xf>
    <xf numFmtId="0" fontId="7" fillId="16" borderId="15" xfId="0" applyFont="1" applyFill="1" applyBorder="1" applyAlignment="1">
      <alignment/>
    </xf>
    <xf numFmtId="0" fontId="5" fillId="16" borderId="16" xfId="0" applyFont="1" applyFill="1" applyBorder="1" applyAlignment="1">
      <alignment/>
    </xf>
    <xf numFmtId="0" fontId="5" fillId="16" borderId="0" xfId="0" applyFont="1" applyFill="1" applyBorder="1" applyAlignment="1">
      <alignment/>
    </xf>
    <xf numFmtId="0" fontId="5" fillId="16" borderId="15" xfId="0" applyFont="1" applyFill="1" applyBorder="1" applyAlignment="1">
      <alignment/>
    </xf>
    <xf numFmtId="0" fontId="5" fillId="16" borderId="0" xfId="0" applyFont="1" applyFill="1" applyBorder="1" applyAlignment="1">
      <alignment/>
    </xf>
    <xf numFmtId="165" fontId="5" fillId="16" borderId="0" xfId="0" applyNumberFormat="1" applyFont="1" applyFill="1" applyBorder="1" applyAlignment="1">
      <alignment horizontal="center" vertical="center"/>
    </xf>
    <xf numFmtId="0" fontId="5" fillId="37" borderId="0" xfId="0" applyFont="1" applyFill="1" applyAlignment="1">
      <alignment/>
    </xf>
    <xf numFmtId="0" fontId="36" fillId="37" borderId="0" xfId="0" applyFont="1" applyFill="1" applyAlignment="1">
      <alignment/>
    </xf>
    <xf numFmtId="0" fontId="7" fillId="16" borderId="10" xfId="0" applyFont="1" applyFill="1" applyBorder="1" applyAlignment="1">
      <alignment horizontal="center" vertical="center"/>
    </xf>
    <xf numFmtId="0" fontId="7" fillId="8" borderId="14" xfId="0" applyFont="1" applyFill="1" applyBorder="1" applyAlignment="1">
      <alignment/>
    </xf>
    <xf numFmtId="0" fontId="7" fillId="8" borderId="21" xfId="0" applyFont="1" applyFill="1" applyBorder="1" applyAlignment="1">
      <alignment/>
    </xf>
    <xf numFmtId="165" fontId="5" fillId="8" borderId="0" xfId="0" applyNumberFormat="1" applyFont="1" applyFill="1" applyBorder="1" applyAlignment="1">
      <alignment horizontal="center"/>
    </xf>
    <xf numFmtId="0" fontId="35" fillId="6" borderId="16" xfId="0" applyFont="1" applyFill="1" applyBorder="1" applyAlignment="1">
      <alignment/>
    </xf>
    <xf numFmtId="165" fontId="5" fillId="6" borderId="0" xfId="0" applyNumberFormat="1" applyFont="1" applyFill="1" applyBorder="1" applyAlignment="1">
      <alignment horizontal="center"/>
    </xf>
    <xf numFmtId="0" fontId="5" fillId="6" borderId="0" xfId="0" applyFont="1" applyFill="1" applyBorder="1" applyAlignment="1">
      <alignment horizontal="center"/>
    </xf>
    <xf numFmtId="165" fontId="5" fillId="12" borderId="0" xfId="0" applyNumberFormat="1" applyFont="1" applyFill="1" applyBorder="1" applyAlignment="1">
      <alignment horizontal="center"/>
    </xf>
    <xf numFmtId="0" fontId="7" fillId="12" borderId="0" xfId="0" applyFont="1" applyFill="1" applyBorder="1" applyAlignment="1">
      <alignment/>
    </xf>
    <xf numFmtId="0" fontId="114" fillId="39" borderId="16" xfId="0" applyFont="1" applyFill="1" applyBorder="1" applyAlignment="1">
      <alignment/>
    </xf>
    <xf numFmtId="165" fontId="115" fillId="39" borderId="0" xfId="0" applyNumberFormat="1" applyFont="1" applyFill="1" applyBorder="1" applyAlignment="1">
      <alignment horizontal="center"/>
    </xf>
    <xf numFmtId="0" fontId="116" fillId="40" borderId="16" xfId="0" applyFont="1" applyFill="1" applyBorder="1" applyAlignment="1">
      <alignment/>
    </xf>
    <xf numFmtId="165" fontId="115" fillId="40" borderId="0" xfId="0" applyNumberFormat="1" applyFont="1" applyFill="1" applyBorder="1" applyAlignment="1">
      <alignment horizontal="center"/>
    </xf>
    <xf numFmtId="0" fontId="116" fillId="41" borderId="16" xfId="0" applyFont="1" applyFill="1" applyBorder="1" applyAlignment="1">
      <alignment/>
    </xf>
    <xf numFmtId="2" fontId="115" fillId="41" borderId="0" xfId="0" applyNumberFormat="1" applyFont="1" applyFill="1" applyBorder="1" applyAlignment="1">
      <alignment horizontal="center"/>
    </xf>
    <xf numFmtId="0" fontId="7" fillId="12" borderId="16" xfId="0" applyFont="1" applyFill="1" applyBorder="1" applyAlignment="1">
      <alignment/>
    </xf>
    <xf numFmtId="3" fontId="5" fillId="6" borderId="0" xfId="0" applyNumberFormat="1" applyFont="1" applyFill="1" applyBorder="1" applyAlignment="1">
      <alignment horizontal="center"/>
    </xf>
    <xf numFmtId="2" fontId="5" fillId="12" borderId="0" xfId="0" applyNumberFormat="1" applyFont="1" applyFill="1" applyBorder="1" applyAlignment="1">
      <alignment horizontal="center"/>
    </xf>
    <xf numFmtId="3" fontId="5" fillId="12" borderId="0" xfId="0" applyNumberFormat="1" applyFont="1" applyFill="1" applyBorder="1" applyAlignment="1">
      <alignment horizontal="center"/>
    </xf>
    <xf numFmtId="165" fontId="5" fillId="12" borderId="0" xfId="0" applyNumberFormat="1" applyFont="1" applyFill="1" applyBorder="1" applyAlignment="1">
      <alignment horizontal="center" vertical="center"/>
    </xf>
    <xf numFmtId="0" fontId="5" fillId="12" borderId="0" xfId="0" applyFont="1" applyFill="1" applyBorder="1" applyAlignment="1">
      <alignment/>
    </xf>
    <xf numFmtId="0" fontId="7" fillId="12" borderId="15" xfId="0" applyFont="1" applyFill="1" applyBorder="1" applyAlignment="1">
      <alignment/>
    </xf>
    <xf numFmtId="0" fontId="5" fillId="12" borderId="15" xfId="0" applyFont="1" applyFill="1" applyBorder="1" applyAlignment="1">
      <alignment/>
    </xf>
    <xf numFmtId="0" fontId="13" fillId="37" borderId="0" xfId="0" applyFont="1" applyFill="1" applyAlignment="1">
      <alignment/>
    </xf>
    <xf numFmtId="0" fontId="7" fillId="8" borderId="20" xfId="0" applyFont="1" applyFill="1" applyBorder="1" applyAlignment="1">
      <alignment/>
    </xf>
    <xf numFmtId="0" fontId="0" fillId="16" borderId="16" xfId="0" applyFill="1" applyBorder="1" applyAlignment="1">
      <alignment/>
    </xf>
    <xf numFmtId="0" fontId="22" fillId="16" borderId="19" xfId="56" applyFont="1" applyFill="1" applyBorder="1">
      <alignment/>
      <protection/>
    </xf>
    <xf numFmtId="166" fontId="4" fillId="16" borderId="19" xfId="70" applyNumberFormat="1" applyFont="1" applyFill="1" applyBorder="1" applyAlignment="1">
      <alignment horizontal="center" vertical="center"/>
    </xf>
    <xf numFmtId="0" fontId="0" fillId="37" borderId="0" xfId="0" applyFont="1" applyFill="1" applyBorder="1" applyAlignment="1">
      <alignment/>
    </xf>
    <xf numFmtId="2" fontId="0" fillId="0" borderId="19" xfId="0" applyNumberFormat="1" applyFont="1" applyBorder="1" applyAlignment="1">
      <alignment horizontal="center"/>
    </xf>
    <xf numFmtId="0" fontId="4" fillId="16" borderId="17" xfId="0" applyFont="1" applyFill="1" applyBorder="1" applyAlignment="1">
      <alignment vertical="center"/>
    </xf>
    <xf numFmtId="166" fontId="4" fillId="16" borderId="18" xfId="0" applyNumberFormat="1" applyFont="1" applyFill="1" applyBorder="1" applyAlignment="1">
      <alignment horizontal="center" vertical="center"/>
    </xf>
    <xf numFmtId="0" fontId="0" fillId="16" borderId="0" xfId="0" applyFill="1" applyAlignment="1">
      <alignment/>
    </xf>
    <xf numFmtId="0" fontId="0" fillId="16" borderId="25" xfId="0" applyFill="1" applyBorder="1" applyAlignment="1">
      <alignment/>
    </xf>
    <xf numFmtId="0" fontId="0" fillId="16" borderId="0" xfId="0" applyFont="1" applyFill="1" applyAlignment="1">
      <alignment/>
    </xf>
    <xf numFmtId="0" fontId="0" fillId="13" borderId="26" xfId="0" applyFill="1" applyBorder="1" applyAlignment="1">
      <alignment horizontal="center" vertical="center" wrapText="1"/>
    </xf>
    <xf numFmtId="0" fontId="0" fillId="13" borderId="25" xfId="0" applyFill="1" applyBorder="1" applyAlignment="1">
      <alignment horizontal="center" vertical="center" wrapText="1"/>
    </xf>
    <xf numFmtId="0" fontId="0" fillId="13" borderId="27" xfId="0" applyFill="1" applyBorder="1" applyAlignment="1">
      <alignment horizontal="center" vertical="center" wrapText="1"/>
    </xf>
    <xf numFmtId="0" fontId="0" fillId="13" borderId="28" xfId="0" applyFill="1" applyBorder="1" applyAlignment="1">
      <alignment horizontal="center" vertical="center" wrapText="1"/>
    </xf>
    <xf numFmtId="0" fontId="0" fillId="13" borderId="28" xfId="0" applyFont="1" applyFill="1" applyBorder="1" applyAlignment="1">
      <alignment horizontal="center" vertical="center" wrapText="1"/>
    </xf>
    <xf numFmtId="0" fontId="0" fillId="13" borderId="12" xfId="0" applyFill="1" applyBorder="1" applyAlignment="1">
      <alignment horizontal="center" vertical="center" wrapText="1"/>
    </xf>
    <xf numFmtId="0" fontId="0" fillId="13" borderId="10" xfId="0" applyFill="1" applyBorder="1" applyAlignment="1">
      <alignment horizontal="center" vertical="center" wrapText="1"/>
    </xf>
    <xf numFmtId="0" fontId="0" fillId="13" borderId="10" xfId="0" applyFont="1" applyFill="1" applyBorder="1" applyAlignment="1">
      <alignment horizontal="center" vertical="center" wrapText="1"/>
    </xf>
    <xf numFmtId="0" fontId="0" fillId="13" borderId="12" xfId="0" applyFont="1" applyFill="1" applyBorder="1" applyAlignment="1">
      <alignment horizontal="center" vertical="center" wrapText="1"/>
    </xf>
    <xf numFmtId="49" fontId="22" fillId="16" borderId="0" xfId="56" applyNumberFormat="1" applyFont="1" applyFill="1" applyBorder="1" applyAlignment="1">
      <alignment horizontal="left" vertical="center" indent="1"/>
      <protection/>
    </xf>
    <xf numFmtId="171" fontId="22" fillId="16" borderId="0" xfId="58" applyNumberFormat="1" applyFont="1" applyFill="1" applyBorder="1" applyAlignment="1">
      <alignment horizontal="right" vertical="center"/>
    </xf>
    <xf numFmtId="2" fontId="0" fillId="16" borderId="0" xfId="0" applyNumberFormat="1" applyFill="1" applyBorder="1" applyAlignment="1">
      <alignment/>
    </xf>
    <xf numFmtId="49" fontId="24" fillId="16" borderId="0" xfId="56" applyNumberFormat="1" applyFont="1" applyFill="1" applyBorder="1" applyAlignment="1">
      <alignment horizontal="left" vertical="center" indent="1"/>
      <protection/>
    </xf>
    <xf numFmtId="172" fontId="24" fillId="16" borderId="0" xfId="56" applyNumberFormat="1" applyFont="1" applyFill="1" applyBorder="1" applyAlignment="1">
      <alignment vertical="center"/>
      <protection/>
    </xf>
    <xf numFmtId="0" fontId="4" fillId="16" borderId="0" xfId="0" applyFont="1" applyFill="1" applyAlignment="1">
      <alignment/>
    </xf>
    <xf numFmtId="0" fontId="5" fillId="36" borderId="15" xfId="0" applyFont="1" applyFill="1" applyBorder="1" applyAlignment="1">
      <alignment horizontal="center"/>
    </xf>
    <xf numFmtId="0" fontId="7" fillId="36" borderId="15" xfId="0" applyFont="1" applyFill="1" applyBorder="1" applyAlignment="1">
      <alignment horizontal="center"/>
    </xf>
    <xf numFmtId="168" fontId="7" fillId="36" borderId="22" xfId="70" applyNumberFormat="1" applyFont="1" applyFill="1" applyBorder="1" applyAlignment="1">
      <alignment/>
    </xf>
    <xf numFmtId="168" fontId="7" fillId="36" borderId="29" xfId="70" applyNumberFormat="1" applyFont="1" applyFill="1" applyBorder="1" applyAlignment="1">
      <alignment/>
    </xf>
    <xf numFmtId="166" fontId="7" fillId="36" borderId="0" xfId="70" applyNumberFormat="1" applyFont="1" applyFill="1" applyBorder="1" applyAlignment="1">
      <alignment/>
    </xf>
    <xf numFmtId="0" fontId="7" fillId="36" borderId="30" xfId="0" applyFont="1" applyFill="1" applyBorder="1" applyAlignment="1">
      <alignment horizontal="center"/>
    </xf>
    <xf numFmtId="168" fontId="7" fillId="36" borderId="31" xfId="70" applyNumberFormat="1" applyFont="1" applyFill="1" applyBorder="1" applyAlignment="1">
      <alignment/>
    </xf>
    <xf numFmtId="0" fontId="7" fillId="12" borderId="30" xfId="0" applyFont="1" applyFill="1" applyBorder="1" applyAlignment="1">
      <alignment horizontal="center"/>
    </xf>
    <xf numFmtId="168" fontId="7" fillId="12" borderId="31" xfId="70" applyNumberFormat="1" applyFont="1" applyFill="1" applyBorder="1" applyAlignment="1">
      <alignment/>
    </xf>
    <xf numFmtId="16" fontId="15" fillId="16" borderId="22" xfId="0" applyNumberFormat="1" applyFont="1" applyFill="1" applyBorder="1" applyAlignment="1" quotePrefix="1">
      <alignment horizontal="center"/>
    </xf>
    <xf numFmtId="166" fontId="7" fillId="36" borderId="15" xfId="70" applyNumberFormat="1" applyFont="1" applyFill="1" applyBorder="1" applyAlignment="1">
      <alignment/>
    </xf>
    <xf numFmtId="166" fontId="7" fillId="36" borderId="30" xfId="70" applyNumberFormat="1" applyFont="1" applyFill="1" applyBorder="1" applyAlignment="1">
      <alignment/>
    </xf>
    <xf numFmtId="166" fontId="5" fillId="36" borderId="15" xfId="70" applyNumberFormat="1" applyFont="1" applyFill="1" applyBorder="1" applyAlignment="1">
      <alignment/>
    </xf>
    <xf numFmtId="166" fontId="5" fillId="36" borderId="30" xfId="70" applyNumberFormat="1" applyFont="1" applyFill="1" applyBorder="1" applyAlignment="1">
      <alignment/>
    </xf>
    <xf numFmtId="166" fontId="7" fillId="12" borderId="32" xfId="70" applyNumberFormat="1" applyFont="1" applyFill="1" applyBorder="1" applyAlignment="1">
      <alignment/>
    </xf>
    <xf numFmtId="166" fontId="5" fillId="36" borderId="16" xfId="70" applyNumberFormat="1" applyFont="1" applyFill="1" applyBorder="1" applyAlignment="1">
      <alignment/>
    </xf>
    <xf numFmtId="166" fontId="7" fillId="12" borderId="33" xfId="70" applyNumberFormat="1" applyFont="1" applyFill="1" applyBorder="1" applyAlignment="1">
      <alignment/>
    </xf>
    <xf numFmtId="166" fontId="5" fillId="36" borderId="0" xfId="70" applyNumberFormat="1" applyFont="1" applyFill="1" applyBorder="1" applyAlignment="1">
      <alignment/>
    </xf>
    <xf numFmtId="168" fontId="5" fillId="36" borderId="22" xfId="70" applyNumberFormat="1" applyFont="1" applyFill="1" applyBorder="1" applyAlignment="1">
      <alignment/>
    </xf>
    <xf numFmtId="168" fontId="7" fillId="12" borderId="26" xfId="70" applyNumberFormat="1" applyFont="1" applyFill="1" applyBorder="1" applyAlignment="1">
      <alignment/>
    </xf>
    <xf numFmtId="169" fontId="37" fillId="16" borderId="19" xfId="0" applyNumberFormat="1" applyFont="1" applyFill="1" applyBorder="1" applyAlignment="1">
      <alignment horizontal="left"/>
    </xf>
    <xf numFmtId="0" fontId="15" fillId="16" borderId="21" xfId="0" applyFont="1" applyFill="1" applyBorder="1" applyAlignment="1">
      <alignment/>
    </xf>
    <xf numFmtId="164" fontId="14" fillId="16" borderId="18" xfId="70" applyFont="1" applyFill="1" applyBorder="1" applyAlignment="1">
      <alignment vertical="center"/>
    </xf>
    <xf numFmtId="164" fontId="0" fillId="0" borderId="0" xfId="70" applyFont="1" applyFill="1" applyBorder="1" applyAlignment="1">
      <alignment horizontal="center"/>
    </xf>
    <xf numFmtId="164" fontId="0" fillId="0" borderId="0" xfId="70" applyFont="1" applyAlignment="1">
      <alignment/>
    </xf>
    <xf numFmtId="164" fontId="0" fillId="0" borderId="19" xfId="70" applyFont="1" applyBorder="1" applyAlignment="1">
      <alignment/>
    </xf>
    <xf numFmtId="1" fontId="8" fillId="42" borderId="10" xfId="0" applyNumberFormat="1" applyFont="1" applyFill="1" applyBorder="1" applyAlignment="1">
      <alignment horizontal="center" vertical="center"/>
    </xf>
    <xf numFmtId="168" fontId="0" fillId="0" borderId="18" xfId="70" applyNumberFormat="1" applyFont="1" applyBorder="1" applyAlignment="1">
      <alignment horizontal="left" vertical="center"/>
    </xf>
    <xf numFmtId="0" fontId="0" fillId="43" borderId="30" xfId="0" applyFont="1" applyFill="1" applyBorder="1" applyAlignment="1">
      <alignment horizontal="center"/>
    </xf>
    <xf numFmtId="2" fontId="8" fillId="42" borderId="34" xfId="0" applyNumberFormat="1" applyFont="1" applyFill="1" applyBorder="1" applyAlignment="1">
      <alignment horizontal="center" vertical="center"/>
    </xf>
    <xf numFmtId="0" fontId="8" fillId="42" borderId="35" xfId="0" applyFont="1" applyFill="1" applyBorder="1" applyAlignment="1">
      <alignment horizontal="center" vertical="center"/>
    </xf>
    <xf numFmtId="168" fontId="0" fillId="0" borderId="36" xfId="70" applyNumberFormat="1" applyFont="1" applyBorder="1" applyAlignment="1">
      <alignment horizontal="left" vertical="center"/>
    </xf>
    <xf numFmtId="168" fontId="8" fillId="34" borderId="10" xfId="70" applyNumberFormat="1" applyFont="1" applyFill="1" applyBorder="1" applyAlignment="1">
      <alignment horizontal="right" vertical="center"/>
    </xf>
    <xf numFmtId="1" fontId="8" fillId="34" borderId="10" xfId="0" applyNumberFormat="1" applyFont="1" applyFill="1" applyBorder="1" applyAlignment="1">
      <alignment horizontal="center"/>
    </xf>
    <xf numFmtId="0" fontId="0" fillId="34" borderId="18" xfId="0" applyFont="1" applyFill="1" applyBorder="1" applyAlignment="1">
      <alignment horizontal="center"/>
    </xf>
    <xf numFmtId="3" fontId="8" fillId="34" borderId="10" xfId="0" applyNumberFormat="1" applyFont="1" applyFill="1" applyBorder="1" applyAlignment="1">
      <alignment horizontal="center"/>
    </xf>
    <xf numFmtId="0" fontId="12" fillId="0" borderId="0" xfId="0" applyFont="1" applyAlignment="1">
      <alignment/>
    </xf>
    <xf numFmtId="2" fontId="8" fillId="34" borderId="10" xfId="0" applyNumberFormat="1" applyFont="1" applyFill="1" applyBorder="1" applyAlignment="1">
      <alignment horizontal="center"/>
    </xf>
    <xf numFmtId="0" fontId="8" fillId="34" borderId="11" xfId="0" applyFont="1" applyFill="1" applyBorder="1" applyAlignment="1">
      <alignment horizontal="center"/>
    </xf>
    <xf numFmtId="0" fontId="8" fillId="34" borderId="12" xfId="0" applyFont="1" applyFill="1" applyBorder="1" applyAlignment="1">
      <alignment horizontal="center" vertical="top" wrapText="1"/>
    </xf>
    <xf numFmtId="3" fontId="8" fillId="34" borderId="10" xfId="0" applyNumberFormat="1" applyFont="1" applyFill="1" applyBorder="1" applyAlignment="1">
      <alignment horizontal="right" vertical="top" wrapText="1"/>
    </xf>
    <xf numFmtId="0" fontId="12" fillId="0" borderId="0" xfId="0" applyFont="1" applyBorder="1" applyAlignment="1">
      <alignment/>
    </xf>
    <xf numFmtId="3" fontId="8" fillId="0" borderId="0" xfId="0" applyNumberFormat="1" applyFont="1" applyBorder="1" applyAlignment="1">
      <alignment horizontal="center"/>
    </xf>
    <xf numFmtId="1" fontId="8" fillId="0" borderId="0" xfId="0" applyNumberFormat="1" applyFont="1" applyBorder="1" applyAlignment="1">
      <alignment horizontal="center"/>
    </xf>
    <xf numFmtId="3" fontId="8" fillId="34" borderId="12" xfId="0" applyNumberFormat="1" applyFont="1" applyFill="1" applyBorder="1" applyAlignment="1">
      <alignment horizontal="center"/>
    </xf>
    <xf numFmtId="0" fontId="8" fillId="34" borderId="18" xfId="0" applyFont="1" applyFill="1" applyBorder="1" applyAlignment="1">
      <alignment horizontal="center"/>
    </xf>
    <xf numFmtId="3" fontId="8" fillId="34" borderId="18" xfId="0" applyNumberFormat="1" applyFont="1" applyFill="1" applyBorder="1" applyAlignment="1">
      <alignment horizontal="center"/>
    </xf>
    <xf numFmtId="3" fontId="8" fillId="34" borderId="23" xfId="0" applyNumberFormat="1" applyFont="1" applyFill="1" applyBorder="1" applyAlignment="1">
      <alignment horizontal="center"/>
    </xf>
    <xf numFmtId="2" fontId="8" fillId="34" borderId="23" xfId="0" applyNumberFormat="1" applyFont="1" applyFill="1" applyBorder="1" applyAlignment="1">
      <alignment horizontal="center"/>
    </xf>
    <xf numFmtId="1" fontId="8" fillId="34" borderId="23" xfId="0" applyNumberFormat="1" applyFont="1" applyFill="1" applyBorder="1" applyAlignment="1">
      <alignment horizontal="center"/>
    </xf>
    <xf numFmtId="0" fontId="8" fillId="34" borderId="17" xfId="0" applyFont="1" applyFill="1" applyBorder="1" applyAlignment="1">
      <alignment horizontal="center"/>
    </xf>
    <xf numFmtId="168" fontId="8" fillId="33" borderId="12" xfId="70" applyNumberFormat="1" applyFont="1" applyFill="1" applyBorder="1" applyAlignment="1">
      <alignment/>
    </xf>
    <xf numFmtId="168" fontId="8" fillId="33" borderId="10" xfId="70" applyNumberFormat="1" applyFont="1" applyFill="1" applyBorder="1" applyAlignment="1">
      <alignment/>
    </xf>
    <xf numFmtId="168" fontId="8" fillId="33" borderId="10" xfId="70" applyNumberFormat="1" applyFont="1" applyFill="1" applyBorder="1" applyAlignment="1" quotePrefix="1">
      <alignment horizontal="right"/>
    </xf>
    <xf numFmtId="0" fontId="8" fillId="34" borderId="12" xfId="0" applyFont="1" applyFill="1" applyBorder="1" applyAlignment="1">
      <alignment horizontal="center"/>
    </xf>
    <xf numFmtId="168" fontId="8" fillId="34" borderId="12" xfId="70" applyNumberFormat="1" applyFont="1" applyFill="1" applyBorder="1" applyAlignment="1">
      <alignment horizontal="right" vertical="center"/>
    </xf>
    <xf numFmtId="168" fontId="8" fillId="34" borderId="10" xfId="70" applyNumberFormat="1" applyFont="1" applyFill="1" applyBorder="1" applyAlignment="1" quotePrefix="1">
      <alignment horizontal="right"/>
    </xf>
    <xf numFmtId="0" fontId="8" fillId="33" borderId="12" xfId="0" applyFont="1" applyFill="1" applyBorder="1" applyAlignment="1">
      <alignment/>
    </xf>
    <xf numFmtId="3" fontId="8" fillId="0" borderId="0" xfId="0" applyNumberFormat="1" applyFont="1" applyFill="1" applyBorder="1" applyAlignment="1">
      <alignment horizontal="center"/>
    </xf>
    <xf numFmtId="0" fontId="17" fillId="16" borderId="14" xfId="0" applyFont="1" applyFill="1" applyBorder="1" applyAlignment="1">
      <alignment horizontal="center"/>
    </xf>
    <xf numFmtId="0" fontId="17" fillId="16" borderId="21" xfId="0" applyFont="1" applyFill="1" applyBorder="1" applyAlignment="1">
      <alignment horizontal="center"/>
    </xf>
    <xf numFmtId="0" fontId="17" fillId="16" borderId="20" xfId="0" applyFont="1" applyFill="1" applyBorder="1" applyAlignment="1">
      <alignment horizontal="center"/>
    </xf>
    <xf numFmtId="0" fontId="15" fillId="16" borderId="20" xfId="0" applyFont="1" applyFill="1" applyBorder="1" applyAlignment="1">
      <alignment horizontal="center" vertical="center"/>
    </xf>
    <xf numFmtId="164" fontId="15" fillId="16" borderId="18" xfId="70" applyFont="1" applyFill="1" applyBorder="1" applyAlignment="1">
      <alignment horizontal="center" vertical="center"/>
    </xf>
    <xf numFmtId="0" fontId="15" fillId="16" borderId="13" xfId="0" applyFont="1" applyFill="1" applyBorder="1" applyAlignment="1">
      <alignment horizontal="center" vertical="center"/>
    </xf>
    <xf numFmtId="0" fontId="15" fillId="16" borderId="23" xfId="0" applyFont="1" applyFill="1" applyBorder="1" applyAlignment="1">
      <alignment horizontal="center" vertical="center"/>
    </xf>
    <xf numFmtId="0" fontId="14" fillId="16" borderId="16" xfId="0" applyFont="1" applyFill="1" applyBorder="1" applyAlignment="1">
      <alignment vertical="center"/>
    </xf>
    <xf numFmtId="0" fontId="14" fillId="16" borderId="17" xfId="0" applyFont="1" applyFill="1" applyBorder="1" applyAlignment="1">
      <alignment vertical="center"/>
    </xf>
    <xf numFmtId="164" fontId="15" fillId="16" borderId="18" xfId="70" applyFont="1" applyFill="1" applyBorder="1" applyAlignment="1">
      <alignment vertical="center"/>
    </xf>
    <xf numFmtId="164" fontId="15" fillId="16" borderId="19" xfId="70" applyFont="1" applyFill="1" applyBorder="1" applyAlignment="1">
      <alignment horizontal="center" vertical="center"/>
    </xf>
    <xf numFmtId="0" fontId="5" fillId="36" borderId="0" xfId="0" applyFont="1" applyFill="1" applyBorder="1" applyAlignment="1">
      <alignment/>
    </xf>
    <xf numFmtId="166" fontId="5" fillId="36" borderId="22" xfId="70" applyNumberFormat="1" applyFont="1" applyFill="1" applyBorder="1" applyAlignment="1">
      <alignment/>
    </xf>
    <xf numFmtId="0" fontId="5" fillId="36" borderId="15" xfId="0" applyFont="1" applyFill="1" applyBorder="1" applyAlignment="1">
      <alignment/>
    </xf>
    <xf numFmtId="166" fontId="5" fillId="36" borderId="22" xfId="70" applyNumberFormat="1" applyFont="1" applyFill="1" applyBorder="1" applyAlignment="1">
      <alignment horizontal="center"/>
    </xf>
    <xf numFmtId="0" fontId="5" fillId="36" borderId="30" xfId="0" applyFont="1" applyFill="1" applyBorder="1" applyAlignment="1">
      <alignment/>
    </xf>
    <xf numFmtId="166" fontId="5" fillId="36" borderId="31" xfId="70" applyNumberFormat="1" applyFont="1" applyFill="1" applyBorder="1" applyAlignment="1">
      <alignment/>
    </xf>
    <xf numFmtId="168" fontId="5" fillId="36" borderId="15" xfId="70" applyNumberFormat="1" applyFont="1" applyFill="1" applyBorder="1" applyAlignment="1">
      <alignment/>
    </xf>
    <xf numFmtId="168" fontId="5" fillId="36" borderId="0" xfId="70" applyNumberFormat="1" applyFont="1" applyFill="1" applyBorder="1" applyAlignment="1">
      <alignment/>
    </xf>
    <xf numFmtId="0" fontId="5" fillId="16" borderId="0" xfId="0" applyFont="1" applyFill="1" applyBorder="1" applyAlignment="1">
      <alignment horizontal="center"/>
    </xf>
    <xf numFmtId="168" fontId="5" fillId="16" borderId="0" xfId="70" applyNumberFormat="1" applyFont="1" applyFill="1" applyBorder="1" applyAlignment="1">
      <alignment/>
    </xf>
    <xf numFmtId="169" fontId="38" fillId="16" borderId="19" xfId="0" applyNumberFormat="1" applyFont="1" applyFill="1" applyBorder="1" applyAlignment="1">
      <alignment horizontal="left"/>
    </xf>
    <xf numFmtId="0" fontId="9" fillId="37" borderId="0" xfId="0" applyFont="1" applyFill="1" applyBorder="1" applyAlignment="1">
      <alignment/>
    </xf>
    <xf numFmtId="0" fontId="0" fillId="2" borderId="0" xfId="0" applyFill="1" applyAlignment="1">
      <alignment/>
    </xf>
    <xf numFmtId="0" fontId="0" fillId="16" borderId="14" xfId="0" applyFill="1" applyBorder="1" applyAlignment="1">
      <alignment/>
    </xf>
    <xf numFmtId="0" fontId="0" fillId="16" borderId="20" xfId="0" applyFill="1" applyBorder="1" applyAlignment="1">
      <alignment/>
    </xf>
    <xf numFmtId="0" fontId="4" fillId="16" borderId="19" xfId="0" applyFont="1" applyFill="1" applyBorder="1" applyAlignment="1">
      <alignment/>
    </xf>
    <xf numFmtId="0" fontId="4" fillId="16" borderId="16" xfId="0" applyFont="1" applyFill="1" applyBorder="1" applyAlignment="1">
      <alignment/>
    </xf>
    <xf numFmtId="0" fontId="4" fillId="16" borderId="17" xfId="0" applyFont="1" applyFill="1" applyBorder="1" applyAlignment="1">
      <alignment/>
    </xf>
    <xf numFmtId="164" fontId="15" fillId="16" borderId="20" xfId="70" applyFont="1" applyFill="1" applyBorder="1" applyAlignment="1">
      <alignment vertical="center"/>
    </xf>
    <xf numFmtId="0" fontId="15" fillId="16" borderId="21" xfId="0" applyFont="1" applyFill="1" applyBorder="1" applyAlignment="1">
      <alignment horizontal="left" vertical="center"/>
    </xf>
    <xf numFmtId="49" fontId="18" fillId="16" borderId="0" xfId="55" applyNumberFormat="1" applyFont="1" applyFill="1" applyBorder="1" applyAlignment="1">
      <alignment horizontal="center" vertical="center" wrapText="1"/>
      <protection/>
    </xf>
    <xf numFmtId="164" fontId="15" fillId="16" borderId="22" xfId="70" applyNumberFormat="1" applyFont="1" applyFill="1" applyBorder="1" applyAlignment="1">
      <alignment horizontal="right"/>
    </xf>
    <xf numFmtId="168" fontId="0" fillId="16" borderId="19" xfId="70" applyNumberFormat="1" applyFont="1" applyFill="1" applyBorder="1" applyAlignment="1">
      <alignment/>
    </xf>
    <xf numFmtId="0" fontId="8" fillId="34" borderId="18" xfId="53" applyFont="1" applyFill="1" applyBorder="1" applyAlignment="1">
      <alignment horizontal="center" vertical="center"/>
      <protection/>
    </xf>
    <xf numFmtId="0" fontId="8" fillId="34" borderId="10" xfId="53" applyFont="1" applyFill="1" applyBorder="1" applyAlignment="1">
      <alignment horizontal="center" vertical="center"/>
      <protection/>
    </xf>
    <xf numFmtId="0" fontId="8" fillId="34" borderId="12" xfId="53" applyFont="1" applyFill="1" applyBorder="1" applyAlignment="1">
      <alignment horizontal="center"/>
      <protection/>
    </xf>
    <xf numFmtId="0" fontId="12" fillId="16" borderId="0" xfId="0" applyFont="1" applyFill="1" applyBorder="1" applyAlignment="1">
      <alignment horizontal="center"/>
    </xf>
    <xf numFmtId="2" fontId="8" fillId="19" borderId="24" xfId="0" applyNumberFormat="1" applyFont="1" applyFill="1" applyBorder="1" applyAlignment="1">
      <alignment horizontal="center"/>
    </xf>
    <xf numFmtId="2" fontId="8" fillId="19" borderId="12" xfId="0" applyNumberFormat="1" applyFont="1" applyFill="1" applyBorder="1" applyAlignment="1">
      <alignment horizontal="center"/>
    </xf>
    <xf numFmtId="2" fontId="12" fillId="16" borderId="0" xfId="0" applyNumberFormat="1" applyFont="1" applyFill="1" applyAlignment="1">
      <alignment horizontal="right"/>
    </xf>
    <xf numFmtId="2" fontId="12" fillId="16" borderId="0" xfId="0" applyNumberFormat="1" applyFont="1" applyFill="1" applyAlignment="1">
      <alignment horizontal="center"/>
    </xf>
    <xf numFmtId="2" fontId="12" fillId="16" borderId="19" xfId="0" applyNumberFormat="1" applyFont="1" applyFill="1" applyBorder="1" applyAlignment="1">
      <alignment horizontal="right"/>
    </xf>
    <xf numFmtId="2" fontId="12" fillId="16" borderId="19" xfId="0" applyNumberFormat="1" applyFont="1" applyFill="1" applyBorder="1" applyAlignment="1">
      <alignment horizontal="center"/>
    </xf>
    <xf numFmtId="0" fontId="8" fillId="6" borderId="0" xfId="0" applyFont="1" applyFill="1" applyBorder="1" applyAlignment="1">
      <alignment/>
    </xf>
    <xf numFmtId="0" fontId="8" fillId="6" borderId="15" xfId="0" applyFont="1" applyFill="1" applyBorder="1" applyAlignment="1">
      <alignment/>
    </xf>
    <xf numFmtId="0" fontId="12" fillId="16" borderId="19" xfId="45" applyFont="1" applyFill="1" applyBorder="1" applyAlignment="1" applyProtection="1">
      <alignment horizontal="left" vertical="center"/>
      <protection/>
    </xf>
    <xf numFmtId="0" fontId="0" fillId="16" borderId="25" xfId="0" applyFont="1" applyFill="1" applyBorder="1" applyAlignment="1">
      <alignment/>
    </xf>
    <xf numFmtId="0" fontId="8" fillId="19" borderId="32" xfId="0" applyFont="1" applyFill="1" applyBorder="1" applyAlignment="1">
      <alignment horizontal="center" vertical="center" wrapText="1"/>
    </xf>
    <xf numFmtId="0" fontId="12" fillId="16" borderId="0" xfId="0" applyFont="1" applyFill="1" applyAlignment="1">
      <alignment/>
    </xf>
    <xf numFmtId="1" fontId="8" fillId="43" borderId="10" xfId="0" applyNumberFormat="1" applyFont="1" applyFill="1" applyBorder="1" applyAlignment="1">
      <alignment horizontal="center" vertical="center"/>
    </xf>
    <xf numFmtId="3" fontId="8" fillId="43" borderId="34" xfId="0" applyNumberFormat="1" applyFont="1" applyFill="1" applyBorder="1" applyAlignment="1">
      <alignment horizontal="center" vertical="center"/>
    </xf>
    <xf numFmtId="3" fontId="8" fillId="43" borderId="35" xfId="0" applyNumberFormat="1" applyFont="1" applyFill="1" applyBorder="1" applyAlignment="1">
      <alignment horizontal="center" vertical="center"/>
    </xf>
    <xf numFmtId="0" fontId="8" fillId="34" borderId="30" xfId="0" applyFont="1" applyFill="1" applyBorder="1" applyAlignment="1">
      <alignment horizontal="center" vertical="center" wrapText="1"/>
    </xf>
    <xf numFmtId="164" fontId="0" fillId="13" borderId="28" xfId="70" applyFont="1" applyFill="1" applyBorder="1" applyAlignment="1">
      <alignment horizontal="center" vertical="center" wrapText="1"/>
    </xf>
    <xf numFmtId="164" fontId="0" fillId="13" borderId="37" xfId="70" applyNumberFormat="1" applyFont="1" applyFill="1" applyBorder="1" applyAlignment="1">
      <alignment horizontal="center" vertical="center" wrapText="1"/>
    </xf>
    <xf numFmtId="164" fontId="0" fillId="13" borderId="10" xfId="70" applyFont="1" applyFill="1" applyBorder="1" applyAlignment="1">
      <alignment horizontal="center" vertical="center" wrapText="1"/>
    </xf>
    <xf numFmtId="164" fontId="0" fillId="13" borderId="24" xfId="70" applyNumberFormat="1" applyFont="1" applyFill="1" applyBorder="1" applyAlignment="1">
      <alignment horizontal="center" vertical="center" wrapText="1"/>
    </xf>
    <xf numFmtId="164" fontId="14" fillId="16" borderId="22" xfId="70" applyFont="1" applyFill="1" applyBorder="1" applyAlignment="1">
      <alignment/>
    </xf>
    <xf numFmtId="168" fontId="8" fillId="34" borderId="26" xfId="70" applyNumberFormat="1" applyFont="1" applyFill="1" applyBorder="1" applyAlignment="1">
      <alignment horizontal="center" vertical="center"/>
    </xf>
    <xf numFmtId="168" fontId="7" fillId="36" borderId="0" xfId="70" applyNumberFormat="1" applyFont="1" applyFill="1" applyBorder="1" applyAlignment="1">
      <alignment/>
    </xf>
    <xf numFmtId="168" fontId="7" fillId="36" borderId="25" xfId="70" applyNumberFormat="1" applyFont="1" applyFill="1" applyBorder="1" applyAlignment="1">
      <alignment/>
    </xf>
    <xf numFmtId="168" fontId="7" fillId="12" borderId="38" xfId="70" applyNumberFormat="1" applyFont="1" applyFill="1" applyBorder="1" applyAlignment="1">
      <alignment/>
    </xf>
    <xf numFmtId="168" fontId="7" fillId="36" borderId="39" xfId="70" applyNumberFormat="1" applyFont="1" applyFill="1" applyBorder="1" applyAlignment="1">
      <alignment/>
    </xf>
    <xf numFmtId="168" fontId="7" fillId="36" borderId="15" xfId="70" applyNumberFormat="1" applyFont="1" applyFill="1" applyBorder="1" applyAlignment="1">
      <alignment/>
    </xf>
    <xf numFmtId="168" fontId="7" fillId="36" borderId="30" xfId="70" applyNumberFormat="1" applyFont="1" applyFill="1" applyBorder="1" applyAlignment="1">
      <alignment/>
    </xf>
    <xf numFmtId="168" fontId="7" fillId="12" borderId="30" xfId="70" applyNumberFormat="1" applyFont="1" applyFill="1" applyBorder="1" applyAlignment="1">
      <alignment/>
    </xf>
    <xf numFmtId="166" fontId="7" fillId="36" borderId="40" xfId="70" applyNumberFormat="1" applyFont="1" applyFill="1" applyBorder="1" applyAlignment="1">
      <alignment/>
    </xf>
    <xf numFmtId="166" fontId="7" fillId="36" borderId="16" xfId="70" applyNumberFormat="1" applyFont="1" applyFill="1" applyBorder="1" applyAlignment="1">
      <alignment/>
    </xf>
    <xf numFmtId="166" fontId="7" fillId="36" borderId="38" xfId="70" applyNumberFormat="1" applyFont="1" applyFill="1" applyBorder="1" applyAlignment="1">
      <alignment/>
    </xf>
    <xf numFmtId="168" fontId="8" fillId="12" borderId="32" xfId="70" applyNumberFormat="1" applyFont="1" applyFill="1" applyBorder="1" applyAlignment="1">
      <alignment/>
    </xf>
    <xf numFmtId="166" fontId="8" fillId="12" borderId="31" xfId="70" applyNumberFormat="1" applyFont="1" applyFill="1" applyBorder="1" applyAlignment="1">
      <alignment/>
    </xf>
    <xf numFmtId="168" fontId="8" fillId="12" borderId="41" xfId="70" applyNumberFormat="1" applyFont="1" applyFill="1" applyBorder="1" applyAlignment="1">
      <alignment/>
    </xf>
    <xf numFmtId="0" fontId="8" fillId="12" borderId="32" xfId="0" applyFont="1" applyFill="1" applyBorder="1" applyAlignment="1">
      <alignment vertical="center"/>
    </xf>
    <xf numFmtId="166" fontId="8" fillId="12" borderId="26" xfId="70" applyNumberFormat="1" applyFont="1" applyFill="1" applyBorder="1" applyAlignment="1">
      <alignment horizontal="center" vertical="center"/>
    </xf>
    <xf numFmtId="166" fontId="8" fillId="12" borderId="26" xfId="0" applyNumberFormat="1" applyFont="1" applyFill="1" applyBorder="1" applyAlignment="1">
      <alignment horizontal="center" vertical="center"/>
    </xf>
    <xf numFmtId="166" fontId="8" fillId="12" borderId="32" xfId="70" applyNumberFormat="1" applyFont="1" applyFill="1" applyBorder="1" applyAlignment="1">
      <alignment horizontal="center" vertical="center"/>
    </xf>
    <xf numFmtId="168" fontId="8" fillId="12" borderId="31" xfId="70" applyNumberFormat="1" applyFont="1" applyFill="1" applyBorder="1" applyAlignment="1">
      <alignment/>
    </xf>
    <xf numFmtId="0" fontId="8" fillId="0" borderId="21" xfId="0" applyFont="1" applyFill="1" applyBorder="1" applyAlignment="1">
      <alignment/>
    </xf>
    <xf numFmtId="0" fontId="8" fillId="0" borderId="15" xfId="0" applyFont="1" applyFill="1" applyBorder="1" applyAlignment="1">
      <alignment/>
    </xf>
    <xf numFmtId="0" fontId="8" fillId="0" borderId="0" xfId="0" applyFont="1" applyFill="1" applyBorder="1" applyAlignment="1">
      <alignment/>
    </xf>
    <xf numFmtId="0" fontId="8" fillId="34" borderId="12" xfId="0" applyFont="1" applyFill="1" applyBorder="1" applyAlignment="1">
      <alignment horizontal="center" vertical="center"/>
    </xf>
    <xf numFmtId="168" fontId="8" fillId="34" borderId="10" xfId="70" applyNumberFormat="1" applyFont="1" applyFill="1" applyBorder="1" applyAlignment="1">
      <alignment horizontal="center" vertical="center"/>
    </xf>
    <xf numFmtId="164" fontId="8" fillId="34" borderId="10" xfId="0" applyNumberFormat="1" applyFont="1" applyFill="1" applyBorder="1" applyAlignment="1">
      <alignment horizontal="center" vertical="center"/>
    </xf>
    <xf numFmtId="164" fontId="8" fillId="34" borderId="11" xfId="0" applyNumberFormat="1" applyFont="1" applyFill="1" applyBorder="1" applyAlignment="1">
      <alignment horizontal="center" vertical="center"/>
    </xf>
    <xf numFmtId="0" fontId="12" fillId="0" borderId="0" xfId="0" applyFont="1" applyFill="1" applyBorder="1" applyAlignment="1">
      <alignment/>
    </xf>
    <xf numFmtId="0" fontId="8" fillId="0" borderId="20" xfId="0" applyFont="1" applyFill="1" applyBorder="1" applyAlignment="1">
      <alignment/>
    </xf>
    <xf numFmtId="0" fontId="8" fillId="0" borderId="18" xfId="0" applyFont="1" applyFill="1" applyBorder="1" applyAlignment="1">
      <alignment/>
    </xf>
    <xf numFmtId="0" fontId="8" fillId="34" borderId="24" xfId="0" applyFont="1" applyFill="1" applyBorder="1" applyAlignment="1">
      <alignment horizontal="center" vertical="center"/>
    </xf>
    <xf numFmtId="0" fontId="12" fillId="0" borderId="0" xfId="0" applyFont="1" applyFill="1" applyBorder="1" applyAlignment="1">
      <alignment horizontal="left" vertical="center"/>
    </xf>
    <xf numFmtId="168" fontId="8" fillId="0" borderId="0" xfId="70" applyNumberFormat="1" applyFont="1" applyFill="1" applyBorder="1" applyAlignment="1">
      <alignment horizontal="center" vertical="center"/>
    </xf>
    <xf numFmtId="164" fontId="8" fillId="0" borderId="0" xfId="0" applyNumberFormat="1" applyFont="1" applyFill="1" applyBorder="1" applyAlignment="1">
      <alignment horizontal="center" vertical="center"/>
    </xf>
    <xf numFmtId="168" fontId="8" fillId="34" borderId="12" xfId="70" applyNumberFormat="1" applyFont="1" applyFill="1" applyBorder="1" applyAlignment="1">
      <alignment horizontal="center" vertical="center"/>
    </xf>
    <xf numFmtId="0" fontId="4" fillId="0" borderId="0" xfId="0" applyFont="1" applyFill="1" applyAlignment="1">
      <alignment/>
    </xf>
    <xf numFmtId="0" fontId="0" fillId="37" borderId="0" xfId="0" applyFont="1" applyFill="1" applyAlignment="1">
      <alignment horizontal="right"/>
    </xf>
    <xf numFmtId="169" fontId="37" fillId="44" borderId="0" xfId="0" applyNumberFormat="1" applyFont="1" applyFill="1" applyBorder="1" applyAlignment="1">
      <alignment horizontal="left"/>
    </xf>
    <xf numFmtId="0" fontId="17" fillId="16" borderId="16" xfId="0" applyFont="1" applyFill="1" applyBorder="1" applyAlignment="1">
      <alignment horizontal="center"/>
    </xf>
    <xf numFmtId="0" fontId="17" fillId="16" borderId="0" xfId="0" applyFont="1" applyFill="1" applyBorder="1" applyAlignment="1">
      <alignment horizontal="center"/>
    </xf>
    <xf numFmtId="0" fontId="17" fillId="16" borderId="15" xfId="0" applyFont="1" applyFill="1" applyBorder="1" applyAlignment="1">
      <alignment horizontal="center"/>
    </xf>
    <xf numFmtId="0" fontId="8" fillId="16" borderId="0" xfId="53" applyFont="1" applyFill="1" applyBorder="1" applyAlignment="1">
      <alignment horizontal="center"/>
      <protection/>
    </xf>
    <xf numFmtId="17" fontId="18" fillId="12" borderId="26" xfId="0" applyNumberFormat="1" applyFont="1" applyFill="1" applyBorder="1" applyAlignment="1">
      <alignment horizontal="center" vertical="center" wrapText="1"/>
    </xf>
    <xf numFmtId="0" fontId="18" fillId="12" borderId="32" xfId="0" applyFont="1" applyFill="1" applyBorder="1" applyAlignment="1">
      <alignment horizontal="center" vertical="center" wrapText="1"/>
    </xf>
    <xf numFmtId="17" fontId="18" fillId="12" borderId="32" xfId="0" applyNumberFormat="1" applyFont="1" applyFill="1" applyBorder="1" applyAlignment="1">
      <alignment horizontal="center" vertical="center" wrapText="1"/>
    </xf>
    <xf numFmtId="0" fontId="18" fillId="12" borderId="26" xfId="0" applyFont="1" applyFill="1" applyBorder="1" applyAlignment="1">
      <alignment horizontal="center" vertical="center" wrapText="1"/>
    </xf>
    <xf numFmtId="0" fontId="18" fillId="12" borderId="41" xfId="0" applyFont="1" applyFill="1" applyBorder="1" applyAlignment="1">
      <alignment horizontal="center" vertical="center" wrapText="1"/>
    </xf>
    <xf numFmtId="0" fontId="13" fillId="16" borderId="0" xfId="0" applyFont="1" applyFill="1" applyBorder="1" applyAlignment="1">
      <alignment horizontal="center"/>
    </xf>
    <xf numFmtId="0" fontId="18" fillId="12" borderId="25" xfId="0" applyFont="1" applyFill="1" applyBorder="1" applyAlignment="1">
      <alignment horizontal="center" vertical="center" wrapText="1"/>
    </xf>
    <xf numFmtId="0" fontId="17" fillId="16" borderId="13" xfId="0" applyFont="1" applyFill="1" applyBorder="1" applyAlignment="1">
      <alignment horizontal="center"/>
    </xf>
    <xf numFmtId="0" fontId="17" fillId="16" borderId="22" xfId="0" applyFont="1" applyFill="1" applyBorder="1" applyAlignment="1">
      <alignment horizontal="center"/>
    </xf>
    <xf numFmtId="0" fontId="2" fillId="16" borderId="23" xfId="0" applyFont="1" applyFill="1" applyBorder="1" applyAlignment="1">
      <alignment/>
    </xf>
    <xf numFmtId="0" fontId="8" fillId="16" borderId="22" xfId="0" applyFont="1" applyFill="1" applyBorder="1" applyAlignment="1">
      <alignment horizontal="center"/>
    </xf>
    <xf numFmtId="0" fontId="30" fillId="16" borderId="22" xfId="0" applyFont="1" applyFill="1" applyBorder="1" applyAlignment="1">
      <alignment horizontal="center" vertical="center"/>
    </xf>
    <xf numFmtId="0" fontId="30" fillId="16" borderId="22" xfId="54" applyFont="1" applyFill="1" applyBorder="1" applyAlignment="1">
      <alignment horizontal="center" vertical="center"/>
      <protection/>
    </xf>
    <xf numFmtId="0" fontId="0" fillId="16" borderId="22" xfId="52" applyFont="1" applyFill="1" applyBorder="1" applyAlignment="1">
      <alignment horizontal="center"/>
      <protection/>
    </xf>
    <xf numFmtId="0" fontId="25" fillId="16" borderId="22" xfId="44" applyFont="1" applyFill="1" applyBorder="1" applyAlignment="1" applyProtection="1">
      <alignment horizontal="center"/>
      <protection/>
    </xf>
    <xf numFmtId="0" fontId="0" fillId="12" borderId="39" xfId="0" applyFont="1" applyFill="1" applyBorder="1" applyAlignment="1">
      <alignment horizontal="center"/>
    </xf>
    <xf numFmtId="0" fontId="0" fillId="12" borderId="29" xfId="0" applyFont="1" applyFill="1" applyBorder="1" applyAlignment="1">
      <alignment horizontal="center"/>
    </xf>
    <xf numFmtId="0" fontId="0" fillId="12" borderId="30" xfId="0" applyFont="1" applyFill="1" applyBorder="1" applyAlignment="1">
      <alignment horizontal="center"/>
    </xf>
    <xf numFmtId="0" fontId="0" fillId="12" borderId="34" xfId="0" applyFont="1" applyFill="1" applyBorder="1" applyAlignment="1">
      <alignment horizontal="center"/>
    </xf>
    <xf numFmtId="0" fontId="0" fillId="12" borderId="42" xfId="0" applyFont="1" applyFill="1" applyBorder="1" applyAlignment="1">
      <alignment horizontal="center"/>
    </xf>
    <xf numFmtId="0" fontId="0" fillId="12" borderId="31" xfId="0" applyFont="1" applyFill="1" applyBorder="1" applyAlignment="1">
      <alignment horizontal="center"/>
    </xf>
    <xf numFmtId="0" fontId="0" fillId="12" borderId="36" xfId="0" applyFont="1" applyFill="1" applyBorder="1" applyAlignment="1">
      <alignment horizontal="center"/>
    </xf>
    <xf numFmtId="0" fontId="0" fillId="12" borderId="38" xfId="0" applyFont="1" applyFill="1" applyBorder="1" applyAlignment="1">
      <alignment horizontal="center"/>
    </xf>
    <xf numFmtId="0" fontId="17" fillId="16" borderId="16" xfId="0" applyFont="1" applyFill="1" applyBorder="1" applyAlignment="1">
      <alignment/>
    </xf>
    <xf numFmtId="0" fontId="4" fillId="16" borderId="16" xfId="0" applyFont="1" applyFill="1" applyBorder="1" applyAlignment="1">
      <alignment vertical="center"/>
    </xf>
    <xf numFmtId="0" fontId="0" fillId="16" borderId="21" xfId="0" applyFill="1" applyBorder="1" applyAlignment="1">
      <alignment/>
    </xf>
    <xf numFmtId="0" fontId="0" fillId="0" borderId="0" xfId="0" applyFont="1" applyAlignment="1">
      <alignment/>
    </xf>
    <xf numFmtId="1" fontId="0" fillId="0" borderId="0" xfId="0" applyNumberFormat="1" applyFont="1" applyAlignment="1">
      <alignment/>
    </xf>
    <xf numFmtId="0" fontId="0" fillId="0" borderId="0" xfId="0" applyFont="1" applyBorder="1" applyAlignment="1">
      <alignment/>
    </xf>
    <xf numFmtId="1" fontId="0" fillId="0" borderId="0" xfId="0" applyNumberFormat="1" applyFont="1" applyBorder="1" applyAlignment="1">
      <alignment/>
    </xf>
    <xf numFmtId="0" fontId="0" fillId="16" borderId="17" xfId="0" applyFont="1" applyFill="1" applyBorder="1" applyAlignment="1">
      <alignment horizontal="center"/>
    </xf>
    <xf numFmtId="0" fontId="0" fillId="16" borderId="19" xfId="0" applyFont="1" applyFill="1" applyBorder="1" applyAlignment="1">
      <alignment horizontal="center"/>
    </xf>
    <xf numFmtId="0" fontId="0" fillId="16" borderId="18" xfId="0" applyFont="1" applyFill="1" applyBorder="1" applyAlignment="1">
      <alignment horizontal="right"/>
    </xf>
    <xf numFmtId="0" fontId="0" fillId="16" borderId="17" xfId="0" applyFont="1" applyFill="1" applyBorder="1" applyAlignment="1">
      <alignment horizontal="right"/>
    </xf>
    <xf numFmtId="0" fontId="0" fillId="16" borderId="19" xfId="0" applyFont="1" applyFill="1" applyBorder="1" applyAlignment="1">
      <alignment horizontal="right"/>
    </xf>
    <xf numFmtId="168" fontId="0" fillId="16" borderId="0" xfId="70" applyNumberFormat="1" applyFont="1" applyFill="1" applyBorder="1" applyAlignment="1">
      <alignment horizontal="right"/>
    </xf>
    <xf numFmtId="168" fontId="0" fillId="16" borderId="19" xfId="70" applyNumberFormat="1" applyFont="1" applyFill="1" applyBorder="1" applyAlignment="1">
      <alignment horizontal="right"/>
    </xf>
    <xf numFmtId="168" fontId="0" fillId="16" borderId="20" xfId="70" applyNumberFormat="1" applyFont="1" applyFill="1" applyBorder="1" applyAlignment="1">
      <alignment horizontal="center"/>
    </xf>
    <xf numFmtId="168" fontId="0" fillId="16" borderId="17" xfId="70" applyNumberFormat="1" applyFont="1" applyFill="1" applyBorder="1" applyAlignment="1">
      <alignment horizontal="right"/>
    </xf>
    <xf numFmtId="168" fontId="0" fillId="16" borderId="18" xfId="70" applyNumberFormat="1" applyFont="1" applyFill="1" applyBorder="1" applyAlignment="1">
      <alignment horizontal="center"/>
    </xf>
    <xf numFmtId="168" fontId="0" fillId="16" borderId="12" xfId="70" applyNumberFormat="1" applyFont="1" applyFill="1" applyBorder="1" applyAlignment="1">
      <alignment horizontal="center"/>
    </xf>
    <xf numFmtId="0" fontId="12" fillId="16" borderId="0" xfId="0" applyFont="1" applyFill="1" applyBorder="1" applyAlignment="1">
      <alignment/>
    </xf>
    <xf numFmtId="0" fontId="5" fillId="2" borderId="0" xfId="0" applyFont="1" applyFill="1" applyAlignment="1">
      <alignment/>
    </xf>
    <xf numFmtId="3" fontId="5" fillId="2" borderId="0" xfId="0" applyNumberFormat="1" applyFont="1" applyFill="1" applyAlignment="1">
      <alignment/>
    </xf>
    <xf numFmtId="0" fontId="0" fillId="2" borderId="0" xfId="0" applyFont="1" applyFill="1" applyAlignment="1">
      <alignment/>
    </xf>
    <xf numFmtId="0" fontId="27" fillId="16" borderId="16" xfId="0" applyFont="1" applyFill="1" applyBorder="1" applyAlignment="1">
      <alignment horizontal="centerContinuous"/>
    </xf>
    <xf numFmtId="0" fontId="5" fillId="16" borderId="0" xfId="0" applyFont="1" applyFill="1" applyBorder="1" applyAlignment="1">
      <alignment horizontal="centerContinuous"/>
    </xf>
    <xf numFmtId="0" fontId="28" fillId="16" borderId="0" xfId="0" applyFont="1" applyFill="1" applyBorder="1" applyAlignment="1">
      <alignment horizontal="centerContinuous"/>
    </xf>
    <xf numFmtId="0" fontId="5" fillId="16" borderId="15" xfId="0" applyFont="1" applyFill="1" applyBorder="1" applyAlignment="1">
      <alignment horizontal="centerContinuous"/>
    </xf>
    <xf numFmtId="0" fontId="0" fillId="16" borderId="13" xfId="0" applyFont="1" applyFill="1" applyBorder="1" applyAlignment="1">
      <alignment horizontal="centerContinuous"/>
    </xf>
    <xf numFmtId="0" fontId="0" fillId="16" borderId="17" xfId="0" applyFont="1" applyFill="1" applyBorder="1" applyAlignment="1">
      <alignment horizontal="centerContinuous"/>
    </xf>
    <xf numFmtId="0" fontId="0" fillId="16" borderId="18" xfId="0" applyFont="1" applyFill="1" applyBorder="1" applyAlignment="1">
      <alignment horizontal="center"/>
    </xf>
    <xf numFmtId="168" fontId="0" fillId="16" borderId="0" xfId="70" applyNumberFormat="1" applyFont="1" applyFill="1" applyBorder="1" applyAlignment="1">
      <alignment/>
    </xf>
    <xf numFmtId="168" fontId="0" fillId="16" borderId="15" xfId="70" applyNumberFormat="1" applyFont="1" applyFill="1" applyBorder="1" applyAlignment="1">
      <alignment horizontal="right"/>
    </xf>
    <xf numFmtId="168" fontId="0" fillId="16" borderId="18" xfId="70" applyNumberFormat="1" applyFont="1" applyFill="1" applyBorder="1" applyAlignment="1">
      <alignment horizontal="right"/>
    </xf>
    <xf numFmtId="0" fontId="0" fillId="16" borderId="10" xfId="0" applyFont="1" applyFill="1" applyBorder="1" applyAlignment="1">
      <alignment/>
    </xf>
    <xf numFmtId="168" fontId="0" fillId="16" borderId="18" xfId="70" applyNumberFormat="1" applyFont="1" applyFill="1" applyBorder="1" applyAlignment="1">
      <alignment/>
    </xf>
    <xf numFmtId="0" fontId="12" fillId="16" borderId="16" xfId="0" applyFont="1" applyFill="1" applyBorder="1" applyAlignment="1">
      <alignment/>
    </xf>
    <xf numFmtId="0" fontId="20" fillId="16" borderId="0" xfId="0" applyFont="1" applyFill="1" applyBorder="1" applyAlignment="1">
      <alignment/>
    </xf>
    <xf numFmtId="3" fontId="0" fillId="16" borderId="0" xfId="0" applyNumberFormat="1" applyFont="1" applyFill="1" applyBorder="1" applyAlignment="1">
      <alignment/>
    </xf>
    <xf numFmtId="0" fontId="20" fillId="16" borderId="16" xfId="0" applyFont="1" applyFill="1" applyBorder="1" applyAlignment="1">
      <alignment/>
    </xf>
    <xf numFmtId="0" fontId="0" fillId="16" borderId="17" xfId="0" applyFont="1" applyFill="1" applyBorder="1" applyAlignment="1">
      <alignment/>
    </xf>
    <xf numFmtId="0" fontId="0" fillId="16" borderId="18" xfId="0" applyFont="1" applyFill="1" applyBorder="1" applyAlignment="1">
      <alignment/>
    </xf>
    <xf numFmtId="168" fontId="0" fillId="16" borderId="15" xfId="70" applyNumberFormat="1" applyFont="1" applyFill="1" applyBorder="1" applyAlignment="1">
      <alignment horizontal="center"/>
    </xf>
    <xf numFmtId="16" fontId="15" fillId="16" borderId="15" xfId="0" applyNumberFormat="1" applyFont="1" applyFill="1" applyBorder="1" applyAlignment="1">
      <alignment horizontal="center"/>
    </xf>
    <xf numFmtId="168" fontId="0" fillId="0" borderId="23" xfId="70" applyNumberFormat="1" applyFont="1" applyBorder="1" applyAlignment="1">
      <alignment horizontal="center" vertical="center"/>
    </xf>
    <xf numFmtId="1" fontId="8" fillId="43" borderId="11" xfId="0" applyNumberFormat="1" applyFont="1" applyFill="1" applyBorder="1" applyAlignment="1">
      <alignment horizontal="center" vertical="center"/>
    </xf>
    <xf numFmtId="168" fontId="8" fillId="19" borderId="26" xfId="70" applyNumberFormat="1" applyFont="1" applyFill="1" applyBorder="1" applyAlignment="1">
      <alignment horizontal="right" vertical="center"/>
    </xf>
    <xf numFmtId="168" fontId="8" fillId="19" borderId="33" xfId="70" applyNumberFormat="1" applyFont="1" applyFill="1" applyBorder="1" applyAlignment="1">
      <alignment horizontal="right" vertical="center"/>
    </xf>
    <xf numFmtId="0" fontId="12" fillId="16" borderId="19" xfId="0" applyFont="1" applyFill="1" applyBorder="1" applyAlignment="1">
      <alignment/>
    </xf>
    <xf numFmtId="49" fontId="24" fillId="16" borderId="19" xfId="56" applyNumberFormat="1" applyFont="1" applyFill="1" applyBorder="1" applyAlignment="1">
      <alignment horizontal="left" vertical="center" indent="1"/>
      <protection/>
    </xf>
    <xf numFmtId="171" fontId="22" fillId="16" borderId="19" xfId="58" applyNumberFormat="1" applyFont="1" applyFill="1" applyBorder="1" applyAlignment="1">
      <alignment horizontal="right" vertical="center"/>
    </xf>
    <xf numFmtId="2" fontId="0" fillId="16" borderId="19" xfId="0" applyNumberFormat="1" applyFill="1" applyBorder="1" applyAlignment="1">
      <alignment/>
    </xf>
    <xf numFmtId="175" fontId="8" fillId="0" borderId="11" xfId="70" applyNumberFormat="1" applyFont="1" applyFill="1" applyBorder="1" applyAlignment="1" applyProtection="1">
      <alignment horizontal="center" vertical="center"/>
      <protection/>
    </xf>
    <xf numFmtId="175" fontId="8" fillId="0" borderId="17" xfId="70" applyNumberFormat="1" applyFont="1" applyFill="1" applyBorder="1" applyAlignment="1" applyProtection="1">
      <alignment horizontal="center" vertical="center"/>
      <protection/>
    </xf>
    <xf numFmtId="0" fontId="4" fillId="37" borderId="0" xfId="0" applyFont="1" applyFill="1" applyAlignment="1">
      <alignment/>
    </xf>
    <xf numFmtId="0" fontId="0" fillId="37" borderId="0" xfId="0" applyFont="1" applyFill="1" applyAlignment="1">
      <alignment vertical="center"/>
    </xf>
    <xf numFmtId="0" fontId="0" fillId="16" borderId="0" xfId="0" applyFont="1" applyFill="1" applyAlignment="1">
      <alignment vertical="center"/>
    </xf>
    <xf numFmtId="0" fontId="8" fillId="16" borderId="16" xfId="0" applyFont="1" applyFill="1" applyBorder="1" applyAlignment="1">
      <alignment horizontal="center"/>
    </xf>
    <xf numFmtId="0" fontId="36" fillId="16" borderId="16" xfId="52" applyFont="1" applyFill="1" applyBorder="1" applyAlignment="1">
      <alignment horizontal="center" vertical="center"/>
      <protection/>
    </xf>
    <xf numFmtId="0" fontId="30" fillId="16" borderId="16" xfId="0" applyFont="1" applyFill="1" applyBorder="1" applyAlignment="1">
      <alignment vertical="center"/>
    </xf>
    <xf numFmtId="49" fontId="0" fillId="16" borderId="16" xfId="0" applyNumberFormat="1" applyFont="1" applyFill="1" applyBorder="1" applyAlignment="1">
      <alignment vertical="center"/>
    </xf>
    <xf numFmtId="0" fontId="0" fillId="16" borderId="16" xfId="52" applyFont="1" applyFill="1" applyBorder="1">
      <alignment/>
      <protection/>
    </xf>
    <xf numFmtId="0" fontId="0" fillId="16" borderId="16" xfId="52" applyFont="1" applyFill="1" applyBorder="1" applyAlignment="1">
      <alignment horizontal="center"/>
      <protection/>
    </xf>
    <xf numFmtId="0" fontId="36" fillId="16" borderId="0" xfId="52" applyFont="1" applyFill="1" applyBorder="1" applyAlignment="1">
      <alignment horizontal="center" vertical="center"/>
      <protection/>
    </xf>
    <xf numFmtId="0" fontId="9" fillId="2" borderId="0" xfId="0" applyFont="1" applyFill="1" applyAlignment="1">
      <alignment/>
    </xf>
    <xf numFmtId="0" fontId="0" fillId="2" borderId="0" xfId="0" applyFill="1" applyBorder="1" applyAlignment="1">
      <alignment/>
    </xf>
    <xf numFmtId="0" fontId="0" fillId="0" borderId="25" xfId="0" applyBorder="1" applyAlignment="1">
      <alignment/>
    </xf>
    <xf numFmtId="0" fontId="8" fillId="0" borderId="0" xfId="0" applyFont="1" applyAlignment="1">
      <alignment/>
    </xf>
    <xf numFmtId="0" fontId="8" fillId="0" borderId="26"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26" xfId="0" applyFont="1" applyFill="1" applyBorder="1" applyAlignment="1">
      <alignment horizontal="center" vertical="center" wrapText="1"/>
    </xf>
    <xf numFmtId="0" fontId="8" fillId="0" borderId="25" xfId="0" applyFont="1" applyBorder="1" applyAlignment="1">
      <alignment horizontal="center" vertical="center"/>
    </xf>
    <xf numFmtId="0" fontId="8" fillId="0" borderId="32" xfId="0" applyFont="1" applyFill="1" applyBorder="1" applyAlignment="1">
      <alignment horizontal="left" vertical="center"/>
    </xf>
    <xf numFmtId="167" fontId="8" fillId="0" borderId="26" xfId="70" applyNumberFormat="1" applyFont="1" applyFill="1" applyBorder="1" applyAlignment="1">
      <alignment vertical="center"/>
    </xf>
    <xf numFmtId="167" fontId="29" fillId="0" borderId="26" xfId="70" applyNumberFormat="1" applyFont="1" applyFill="1" applyBorder="1" applyAlignment="1">
      <alignment vertical="center"/>
    </xf>
    <xf numFmtId="167" fontId="8" fillId="0" borderId="26" xfId="0" applyNumberFormat="1" applyFont="1" applyFill="1" applyBorder="1" applyAlignment="1">
      <alignment horizontal="right" vertical="center"/>
    </xf>
    <xf numFmtId="176" fontId="8" fillId="0" borderId="26" xfId="0" applyNumberFormat="1" applyFont="1" applyFill="1" applyBorder="1" applyAlignment="1">
      <alignment vertical="center"/>
    </xf>
    <xf numFmtId="176" fontId="8" fillId="0" borderId="33" xfId="0" applyNumberFormat="1" applyFont="1" applyFill="1" applyBorder="1" applyAlignment="1">
      <alignment vertical="center"/>
    </xf>
    <xf numFmtId="0" fontId="8" fillId="0" borderId="32" xfId="0" applyFont="1" applyBorder="1" applyAlignment="1">
      <alignment/>
    </xf>
    <xf numFmtId="167" fontId="8" fillId="0" borderId="26" xfId="0" applyNumberFormat="1" applyFont="1" applyBorder="1" applyAlignment="1">
      <alignment/>
    </xf>
    <xf numFmtId="176" fontId="8" fillId="0" borderId="26" xfId="0" applyNumberFormat="1" applyFont="1" applyBorder="1" applyAlignment="1">
      <alignment/>
    </xf>
    <xf numFmtId="0" fontId="2" fillId="16" borderId="0" xfId="0" applyFont="1" applyFill="1" applyBorder="1" applyAlignment="1">
      <alignment/>
    </xf>
    <xf numFmtId="0" fontId="4" fillId="16" borderId="0" xfId="0" applyFont="1" applyFill="1" applyBorder="1" applyAlignment="1">
      <alignment horizontal="center"/>
    </xf>
    <xf numFmtId="168" fontId="4" fillId="16" borderId="0" xfId="70" applyNumberFormat="1" applyFont="1" applyFill="1" applyBorder="1" applyAlignment="1">
      <alignment/>
    </xf>
    <xf numFmtId="0" fontId="2" fillId="16" borderId="0" xfId="0" applyFont="1" applyFill="1" applyBorder="1" applyAlignment="1">
      <alignment horizontal="center"/>
    </xf>
    <xf numFmtId="166" fontId="4" fillId="16" borderId="0" xfId="70" applyNumberFormat="1" applyFont="1" applyFill="1" applyBorder="1" applyAlignment="1">
      <alignment horizontal="center"/>
    </xf>
    <xf numFmtId="2" fontId="2" fillId="16" borderId="0" xfId="0" applyNumberFormat="1" applyFont="1" applyFill="1" applyBorder="1" applyAlignment="1">
      <alignment horizontal="center"/>
    </xf>
    <xf numFmtId="0" fontId="46" fillId="16" borderId="0" xfId="0" applyFont="1" applyFill="1" applyBorder="1" applyAlignment="1">
      <alignment/>
    </xf>
    <xf numFmtId="177" fontId="46" fillId="16" borderId="0" xfId="0" applyNumberFormat="1" applyFont="1" applyFill="1" applyBorder="1" applyAlignment="1">
      <alignment/>
    </xf>
    <xf numFmtId="0" fontId="10" fillId="16" borderId="0" xfId="0" applyFont="1" applyFill="1" applyBorder="1" applyAlignment="1">
      <alignment/>
    </xf>
    <xf numFmtId="22" fontId="2" fillId="16" borderId="0" xfId="0" applyNumberFormat="1" applyFont="1" applyFill="1" applyBorder="1" applyAlignment="1">
      <alignment/>
    </xf>
    <xf numFmtId="169" fontId="47" fillId="16" borderId="18" xfId="0" applyNumberFormat="1" applyFont="1" applyFill="1" applyBorder="1" applyAlignment="1">
      <alignment horizontal="left"/>
    </xf>
    <xf numFmtId="2" fontId="0" fillId="0" borderId="0" xfId="0" applyNumberFormat="1" applyFont="1" applyAlignment="1">
      <alignment horizontal="center"/>
    </xf>
    <xf numFmtId="175" fontId="0" fillId="0" borderId="17" xfId="70" applyNumberFormat="1" applyFont="1" applyFill="1" applyBorder="1" applyAlignment="1" applyProtection="1">
      <alignment horizontal="center" vertical="center"/>
      <protection/>
    </xf>
    <xf numFmtId="173" fontId="0" fillId="0" borderId="23" xfId="70" applyNumberFormat="1" applyFont="1" applyBorder="1" applyAlignment="1">
      <alignment horizontal="right" vertical="center"/>
    </xf>
    <xf numFmtId="173" fontId="0" fillId="0" borderId="0" xfId="70" applyNumberFormat="1" applyFont="1" applyFill="1" applyBorder="1" applyAlignment="1" applyProtection="1">
      <alignment vertical="center"/>
      <protection/>
    </xf>
    <xf numFmtId="0" fontId="4" fillId="0" borderId="0" xfId="0" applyFont="1" applyBorder="1" applyAlignment="1">
      <alignment/>
    </xf>
    <xf numFmtId="0" fontId="4" fillId="16" borderId="0" xfId="0" applyFont="1" applyFill="1" applyBorder="1" applyAlignment="1">
      <alignment horizontal="center"/>
    </xf>
    <xf numFmtId="0" fontId="18" fillId="19" borderId="0" xfId="0" applyFont="1" applyFill="1" applyBorder="1" applyAlignment="1">
      <alignment horizontal="centerContinuous"/>
    </xf>
    <xf numFmtId="1" fontId="18" fillId="19" borderId="14" xfId="0" applyNumberFormat="1" applyFont="1" applyFill="1" applyBorder="1" applyAlignment="1">
      <alignment horizontal="center"/>
    </xf>
    <xf numFmtId="1" fontId="18" fillId="19" borderId="21" xfId="0" applyNumberFormat="1" applyFont="1" applyFill="1" applyBorder="1" applyAlignment="1">
      <alignment horizontal="center"/>
    </xf>
    <xf numFmtId="1" fontId="18" fillId="19" borderId="20" xfId="0" applyNumberFormat="1" applyFont="1" applyFill="1" applyBorder="1" applyAlignment="1">
      <alignment horizontal="center"/>
    </xf>
    <xf numFmtId="2" fontId="18" fillId="19" borderId="0" xfId="0" applyNumberFormat="1" applyFont="1" applyFill="1" applyBorder="1" applyAlignment="1">
      <alignment horizontal="centerContinuous"/>
    </xf>
    <xf numFmtId="2" fontId="18" fillId="19" borderId="16" xfId="0" applyNumberFormat="1" applyFont="1" applyFill="1" applyBorder="1" applyAlignment="1">
      <alignment horizontal="centerContinuous"/>
    </xf>
    <xf numFmtId="2" fontId="18" fillId="19" borderId="15" xfId="0" applyNumberFormat="1" applyFont="1" applyFill="1" applyBorder="1" applyAlignment="1">
      <alignment horizontal="centerContinuous"/>
    </xf>
    <xf numFmtId="0" fontId="18" fillId="19" borderId="16" xfId="0" applyFont="1" applyFill="1" applyBorder="1" applyAlignment="1">
      <alignment horizontal="centerContinuous"/>
    </xf>
    <xf numFmtId="0" fontId="18" fillId="19" borderId="15" xfId="0" applyFont="1" applyFill="1" applyBorder="1" applyAlignment="1">
      <alignment horizontal="centerContinuous"/>
    </xf>
    <xf numFmtId="0" fontId="0" fillId="19" borderId="20" xfId="0" applyFont="1" applyFill="1" applyBorder="1" applyAlignment="1">
      <alignment horizontal="left"/>
    </xf>
    <xf numFmtId="0" fontId="0" fillId="19" borderId="15" xfId="0" applyFont="1" applyFill="1" applyBorder="1" applyAlignment="1">
      <alignment horizontal="left"/>
    </xf>
    <xf numFmtId="0" fontId="8" fillId="19" borderId="12" xfId="0" applyFont="1" applyFill="1" applyBorder="1" applyAlignment="1">
      <alignment horizontal="center"/>
    </xf>
    <xf numFmtId="2" fontId="18" fillId="19" borderId="0" xfId="0" applyNumberFormat="1" applyFont="1" applyFill="1" applyBorder="1" applyAlignment="1">
      <alignment horizontal="center"/>
    </xf>
    <xf numFmtId="0" fontId="117" fillId="0" borderId="0" xfId="0" applyFont="1" applyAlignment="1">
      <alignment/>
    </xf>
    <xf numFmtId="0" fontId="5" fillId="16" borderId="0" xfId="0" applyFont="1" applyFill="1" applyAlignment="1">
      <alignment/>
    </xf>
    <xf numFmtId="168" fontId="0" fillId="0" borderId="10" xfId="70" applyNumberFormat="1" applyFont="1" applyBorder="1" applyAlignment="1">
      <alignment/>
    </xf>
    <xf numFmtId="0" fontId="3" fillId="16" borderId="0" xfId="0" applyFont="1" applyFill="1" applyBorder="1" applyAlignment="1">
      <alignment horizontal="center"/>
    </xf>
    <xf numFmtId="0" fontId="3" fillId="16" borderId="15" xfId="0" applyFont="1" applyFill="1" applyBorder="1" applyAlignment="1">
      <alignment horizontal="center"/>
    </xf>
    <xf numFmtId="0" fontId="11" fillId="16" borderId="15" xfId="0" applyFont="1" applyFill="1" applyBorder="1" applyAlignment="1">
      <alignment horizontal="center"/>
    </xf>
    <xf numFmtId="168" fontId="0" fillId="16" borderId="0" xfId="70" applyNumberFormat="1" applyFont="1" applyFill="1" applyBorder="1" applyAlignment="1">
      <alignment/>
    </xf>
    <xf numFmtId="0" fontId="0" fillId="16" borderId="19" xfId="0" applyFont="1" applyFill="1" applyBorder="1" applyAlignment="1">
      <alignment/>
    </xf>
    <xf numFmtId="168" fontId="0" fillId="16" borderId="37" xfId="70" applyNumberFormat="1" applyFont="1" applyFill="1" applyBorder="1" applyAlignment="1">
      <alignment/>
    </xf>
    <xf numFmtId="168" fontId="0" fillId="16" borderId="19" xfId="70" applyNumberFormat="1" applyFont="1" applyFill="1" applyBorder="1" applyAlignment="1">
      <alignment/>
    </xf>
    <xf numFmtId="0" fontId="17" fillId="0" borderId="0" xfId="0" applyFont="1" applyAlignment="1">
      <alignment/>
    </xf>
    <xf numFmtId="0" fontId="0" fillId="16" borderId="13" xfId="0" applyFont="1" applyFill="1" applyBorder="1" applyAlignment="1">
      <alignment/>
    </xf>
    <xf numFmtId="0" fontId="0" fillId="16" borderId="13" xfId="0" applyFont="1" applyFill="1" applyBorder="1" applyAlignment="1">
      <alignment horizontal="center"/>
    </xf>
    <xf numFmtId="0" fontId="27" fillId="16" borderId="38" xfId="0" applyFont="1" applyFill="1" applyBorder="1" applyAlignment="1">
      <alignment horizontal="centerContinuous"/>
    </xf>
    <xf numFmtId="0" fontId="5" fillId="16" borderId="25" xfId="0" applyFont="1" applyFill="1" applyBorder="1" applyAlignment="1">
      <alignment horizontal="centerContinuous"/>
    </xf>
    <xf numFmtId="0" fontId="28" fillId="16" borderId="25" xfId="0" applyFont="1" applyFill="1" applyBorder="1" applyAlignment="1">
      <alignment horizontal="centerContinuous"/>
    </xf>
    <xf numFmtId="0" fontId="28" fillId="16" borderId="30" xfId="0" applyFont="1" applyFill="1" applyBorder="1" applyAlignment="1">
      <alignment horizontal="centerContinuous"/>
    </xf>
    <xf numFmtId="0" fontId="0" fillId="16" borderId="31" xfId="0" applyFont="1" applyFill="1" applyBorder="1" applyAlignment="1">
      <alignment horizontal="center"/>
    </xf>
    <xf numFmtId="0" fontId="0" fillId="16" borderId="30" xfId="0" applyFont="1" applyFill="1" applyBorder="1" applyAlignment="1">
      <alignment horizontal="center"/>
    </xf>
    <xf numFmtId="0" fontId="0" fillId="16" borderId="34" xfId="0" applyFont="1" applyFill="1" applyBorder="1" applyAlignment="1">
      <alignment horizontal="center"/>
    </xf>
    <xf numFmtId="0" fontId="0" fillId="16" borderId="31" xfId="0" applyFont="1" applyFill="1" applyBorder="1" applyAlignment="1">
      <alignment/>
    </xf>
    <xf numFmtId="0" fontId="41" fillId="16" borderId="27" xfId="0" applyFont="1" applyFill="1" applyBorder="1" applyAlignment="1">
      <alignment horizontal="center"/>
    </xf>
    <xf numFmtId="0" fontId="118" fillId="16" borderId="15" xfId="0" applyFont="1" applyFill="1" applyBorder="1" applyAlignment="1">
      <alignment/>
    </xf>
    <xf numFmtId="0" fontId="119" fillId="16" borderId="15" xfId="0" applyFont="1" applyFill="1" applyBorder="1" applyAlignment="1">
      <alignment horizontal="center"/>
    </xf>
    <xf numFmtId="0" fontId="117" fillId="16" borderId="15" xfId="0" applyFont="1" applyFill="1" applyBorder="1" applyAlignment="1">
      <alignment horizontal="center" vertical="center" wrapText="1"/>
    </xf>
    <xf numFmtId="164" fontId="0" fillId="0" borderId="0" xfId="70" applyFont="1" applyAlignment="1">
      <alignment/>
    </xf>
    <xf numFmtId="0" fontId="5" fillId="2" borderId="16" xfId="0" applyFont="1" applyFill="1" applyBorder="1" applyAlignment="1">
      <alignment/>
    </xf>
    <xf numFmtId="3" fontId="5" fillId="2" borderId="16" xfId="0" applyNumberFormat="1" applyFont="1" applyFill="1" applyBorder="1" applyAlignment="1">
      <alignment/>
    </xf>
    <xf numFmtId="168" fontId="0" fillId="0" borderId="10" xfId="70" applyNumberFormat="1" applyFont="1" applyBorder="1" applyAlignment="1">
      <alignment horizontal="center" vertical="center"/>
    </xf>
    <xf numFmtId="164" fontId="0" fillId="33" borderId="10" xfId="70" applyNumberFormat="1" applyFont="1" applyFill="1" applyBorder="1" applyAlignment="1" quotePrefix="1">
      <alignment horizontal="center" vertical="center"/>
    </xf>
    <xf numFmtId="164" fontId="0" fillId="33" borderId="10" xfId="70" applyFont="1" applyFill="1" applyBorder="1" applyAlignment="1" quotePrefix="1">
      <alignment horizontal="center" vertical="center"/>
    </xf>
    <xf numFmtId="168" fontId="0" fillId="0" borderId="34" xfId="70" applyNumberFormat="1" applyFont="1" applyBorder="1" applyAlignment="1">
      <alignment horizontal="center" vertical="center"/>
    </xf>
    <xf numFmtId="3" fontId="8" fillId="34" borderId="26" xfId="0" applyNumberFormat="1" applyFont="1" applyFill="1" applyBorder="1" applyAlignment="1">
      <alignment horizontal="center" vertical="center" wrapText="1"/>
    </xf>
    <xf numFmtId="164" fontId="8" fillId="34" borderId="26" xfId="70" applyNumberFormat="1" applyFont="1" applyFill="1" applyBorder="1" applyAlignment="1" quotePrefix="1">
      <alignment horizontal="center" vertical="center"/>
    </xf>
    <xf numFmtId="164" fontId="8" fillId="34" borderId="26" xfId="70" applyFont="1" applyFill="1" applyBorder="1" applyAlignment="1" quotePrefix="1">
      <alignment horizontal="center" vertical="center"/>
    </xf>
    <xf numFmtId="0" fontId="0" fillId="37" borderId="0" xfId="0" applyFont="1" applyFill="1" applyAlignment="1">
      <alignment/>
    </xf>
    <xf numFmtId="168" fontId="0" fillId="0" borderId="12" xfId="70" applyNumberFormat="1" applyFont="1" applyBorder="1" applyAlignment="1">
      <alignment/>
    </xf>
    <xf numFmtId="168" fontId="0" fillId="0" borderId="12" xfId="70" applyNumberFormat="1" applyFont="1" applyBorder="1" applyAlignment="1">
      <alignment horizontal="left" vertical="center"/>
    </xf>
    <xf numFmtId="168" fontId="0" fillId="0" borderId="11" xfId="70" applyNumberFormat="1" applyFont="1" applyBorder="1" applyAlignment="1">
      <alignment horizontal="center" vertical="center"/>
    </xf>
    <xf numFmtId="168" fontId="0" fillId="36" borderId="10" xfId="70" applyNumberFormat="1" applyFont="1" applyFill="1" applyBorder="1" applyAlignment="1">
      <alignment horizontal="right" vertical="center"/>
    </xf>
    <xf numFmtId="168" fontId="0" fillId="36" borderId="11" xfId="70" applyNumberFormat="1" applyFont="1" applyFill="1" applyBorder="1" applyAlignment="1">
      <alignment horizontal="center" vertical="center"/>
    </xf>
    <xf numFmtId="168" fontId="0" fillId="0" borderId="18" xfId="70" applyNumberFormat="1" applyFont="1" applyBorder="1" applyAlignment="1">
      <alignment horizontal="left" vertical="center"/>
    </xf>
    <xf numFmtId="168" fontId="0" fillId="0" borderId="23" xfId="70" applyNumberFormat="1" applyFont="1" applyBorder="1" applyAlignment="1">
      <alignment horizontal="center" vertical="center"/>
    </xf>
    <xf numFmtId="168" fontId="0" fillId="0" borderId="23" xfId="70" applyNumberFormat="1" applyFont="1" applyBorder="1" applyAlignment="1">
      <alignment horizontal="right" vertical="center"/>
    </xf>
    <xf numFmtId="168" fontId="0" fillId="0" borderId="17" xfId="70" applyNumberFormat="1" applyFont="1" applyBorder="1" applyAlignment="1">
      <alignment horizontal="center" vertical="center"/>
    </xf>
    <xf numFmtId="168" fontId="0" fillId="0" borderId="34" xfId="70" applyNumberFormat="1" applyFont="1" applyBorder="1" applyAlignment="1">
      <alignment horizontal="right" vertical="center"/>
    </xf>
    <xf numFmtId="168" fontId="0" fillId="0" borderId="35" xfId="70" applyNumberFormat="1" applyFont="1" applyBorder="1" applyAlignment="1">
      <alignment horizontal="center" vertical="center"/>
    </xf>
    <xf numFmtId="168" fontId="8" fillId="34" borderId="31" xfId="70" applyNumberFormat="1" applyFont="1" applyFill="1" applyBorder="1" applyAlignment="1">
      <alignment horizontal="center" vertical="center"/>
    </xf>
    <xf numFmtId="168" fontId="8" fillId="19" borderId="31" xfId="70" applyNumberFormat="1" applyFont="1" applyFill="1" applyBorder="1" applyAlignment="1">
      <alignment horizontal="right" vertical="center"/>
    </xf>
    <xf numFmtId="168" fontId="8" fillId="19" borderId="38" xfId="70" applyNumberFormat="1" applyFont="1" applyFill="1" applyBorder="1" applyAlignment="1">
      <alignment horizontal="center" vertical="center"/>
    </xf>
    <xf numFmtId="0" fontId="0" fillId="0" borderId="15" xfId="0" applyBorder="1" applyAlignment="1">
      <alignment/>
    </xf>
    <xf numFmtId="168" fontId="8" fillId="44" borderId="26" xfId="70" applyNumberFormat="1" applyFont="1" applyFill="1" applyBorder="1" applyAlignment="1">
      <alignment/>
    </xf>
    <xf numFmtId="0" fontId="0" fillId="0" borderId="0" xfId="0" applyFont="1" applyAlignment="1">
      <alignment/>
    </xf>
    <xf numFmtId="168" fontId="120" fillId="0" borderId="26" xfId="70" applyNumberFormat="1" applyFont="1" applyBorder="1" applyAlignment="1">
      <alignment/>
    </xf>
    <xf numFmtId="166" fontId="8" fillId="0" borderId="26" xfId="70" applyNumberFormat="1" applyFont="1" applyBorder="1" applyAlignment="1">
      <alignment/>
    </xf>
    <xf numFmtId="168" fontId="0" fillId="16" borderId="15" xfId="70" applyNumberFormat="1" applyFont="1" applyFill="1" applyBorder="1" applyAlignment="1">
      <alignment/>
    </xf>
    <xf numFmtId="164" fontId="0" fillId="16" borderId="29" xfId="70" applyNumberFormat="1" applyFont="1" applyFill="1" applyBorder="1" applyAlignment="1">
      <alignment/>
    </xf>
    <xf numFmtId="164" fontId="0" fillId="16" borderId="22" xfId="70" applyNumberFormat="1" applyFont="1" applyFill="1" applyBorder="1" applyAlignment="1">
      <alignment/>
    </xf>
    <xf numFmtId="166" fontId="0" fillId="16" borderId="0" xfId="70" applyNumberFormat="1" applyFont="1" applyFill="1" applyBorder="1" applyAlignment="1">
      <alignment horizontal="center" vertical="center"/>
    </xf>
    <xf numFmtId="166" fontId="0" fillId="16" borderId="22" xfId="70" applyNumberFormat="1" applyFont="1" applyFill="1" applyBorder="1" applyAlignment="1">
      <alignment/>
    </xf>
    <xf numFmtId="168" fontId="0" fillId="16" borderId="23" xfId="70" applyNumberFormat="1" applyFont="1" applyFill="1" applyBorder="1" applyAlignment="1">
      <alignment/>
    </xf>
    <xf numFmtId="164" fontId="0" fillId="16" borderId="23" xfId="70" applyNumberFormat="1" applyFont="1" applyFill="1" applyBorder="1" applyAlignment="1">
      <alignment/>
    </xf>
    <xf numFmtId="166" fontId="0" fillId="16" borderId="23" xfId="70" applyNumberFormat="1" applyFont="1" applyFill="1" applyBorder="1" applyAlignment="1">
      <alignment/>
    </xf>
    <xf numFmtId="166" fontId="0" fillId="16" borderId="19" xfId="70" applyNumberFormat="1" applyFont="1" applyFill="1" applyBorder="1" applyAlignment="1">
      <alignment horizontal="center" vertical="center"/>
    </xf>
    <xf numFmtId="168" fontId="0" fillId="16" borderId="18" xfId="70" applyNumberFormat="1" applyFont="1" applyFill="1" applyBorder="1" applyAlignment="1">
      <alignment/>
    </xf>
    <xf numFmtId="0" fontId="117" fillId="0" borderId="0" xfId="0" applyFont="1" applyBorder="1" applyAlignment="1">
      <alignment/>
    </xf>
    <xf numFmtId="0" fontId="0" fillId="16" borderId="18" xfId="0" applyFont="1" applyFill="1" applyBorder="1" applyAlignment="1">
      <alignment vertical="center" wrapText="1"/>
    </xf>
    <xf numFmtId="164" fontId="8" fillId="36" borderId="34" xfId="70" applyFont="1" applyFill="1" applyBorder="1" applyAlignment="1">
      <alignment/>
    </xf>
    <xf numFmtId="164" fontId="8" fillId="36" borderId="35" xfId="70" applyFont="1" applyFill="1" applyBorder="1" applyAlignment="1">
      <alignment/>
    </xf>
    <xf numFmtId="39" fontId="8" fillId="0" borderId="0" xfId="0" applyNumberFormat="1" applyFont="1" applyBorder="1" applyAlignment="1" applyProtection="1">
      <alignment vertical="center"/>
      <protection/>
    </xf>
    <xf numFmtId="168" fontId="0" fillId="0" borderId="0" xfId="0" applyNumberFormat="1" applyAlignment="1">
      <alignment/>
    </xf>
    <xf numFmtId="166" fontId="0" fillId="0" borderId="0" xfId="0" applyNumberFormat="1" applyAlignment="1">
      <alignment/>
    </xf>
    <xf numFmtId="164" fontId="0" fillId="0" borderId="0" xfId="0" applyNumberFormat="1" applyAlignment="1">
      <alignment/>
    </xf>
    <xf numFmtId="164" fontId="8" fillId="0" borderId="0" xfId="70" applyFont="1" applyBorder="1" applyAlignment="1" applyProtection="1">
      <alignment vertical="center"/>
      <protection/>
    </xf>
    <xf numFmtId="0" fontId="121" fillId="36" borderId="32" xfId="0" applyFont="1" applyFill="1" applyBorder="1" applyAlignment="1">
      <alignment horizontal="center"/>
    </xf>
    <xf numFmtId="164" fontId="122" fillId="0" borderId="26" xfId="70" applyNumberFormat="1" applyFont="1" applyBorder="1" applyAlignment="1">
      <alignment/>
    </xf>
    <xf numFmtId="168" fontId="122" fillId="0" borderId="26" xfId="70" applyNumberFormat="1" applyFont="1" applyBorder="1" applyAlignment="1">
      <alignment/>
    </xf>
    <xf numFmtId="166" fontId="122" fillId="0" borderId="31" xfId="70" applyNumberFormat="1" applyFont="1" applyBorder="1" applyAlignment="1">
      <alignment/>
    </xf>
    <xf numFmtId="166" fontId="122" fillId="0" borderId="26" xfId="70" applyNumberFormat="1" applyFont="1" applyBorder="1" applyAlignment="1">
      <alignment/>
    </xf>
    <xf numFmtId="0" fontId="121" fillId="0" borderId="32" xfId="0" applyFont="1" applyBorder="1" applyAlignment="1">
      <alignment horizontal="center" vertical="center" wrapText="1"/>
    </xf>
    <xf numFmtId="164" fontId="122" fillId="0" borderId="26" xfId="70" applyFont="1" applyBorder="1" applyAlignment="1">
      <alignment/>
    </xf>
    <xf numFmtId="164" fontId="122" fillId="0" borderId="26" xfId="70" applyNumberFormat="1" applyFont="1" applyBorder="1" applyAlignment="1">
      <alignment vertical="center"/>
    </xf>
    <xf numFmtId="0" fontId="0" fillId="16" borderId="15" xfId="0" applyFont="1" applyFill="1" applyBorder="1" applyAlignment="1">
      <alignment vertical="center" wrapText="1"/>
    </xf>
    <xf numFmtId="164" fontId="0" fillId="0" borderId="0" xfId="70" applyNumberFormat="1" applyFont="1" applyFill="1" applyBorder="1" applyAlignment="1">
      <alignment/>
    </xf>
    <xf numFmtId="164" fontId="8" fillId="36" borderId="29" xfId="70" applyFont="1" applyFill="1" applyBorder="1" applyAlignment="1">
      <alignment/>
    </xf>
    <xf numFmtId="164" fontId="8" fillId="36" borderId="33" xfId="70" applyFont="1" applyFill="1" applyBorder="1" applyAlignment="1">
      <alignment/>
    </xf>
    <xf numFmtId="0" fontId="8" fillId="10" borderId="12" xfId="0" applyFont="1" applyFill="1" applyBorder="1" applyAlignment="1">
      <alignment horizontal="left" vertical="center" wrapText="1"/>
    </xf>
    <xf numFmtId="164" fontId="8" fillId="10" borderId="10" xfId="70" applyFont="1" applyFill="1" applyBorder="1" applyAlignment="1" applyProtection="1">
      <alignment vertical="center"/>
      <protection/>
    </xf>
    <xf numFmtId="168" fontId="8" fillId="10" borderId="10" xfId="70" applyNumberFormat="1" applyFont="1" applyFill="1" applyBorder="1" applyAlignment="1" applyProtection="1">
      <alignment vertical="center"/>
      <protection/>
    </xf>
    <xf numFmtId="166" fontId="8" fillId="10" borderId="10" xfId="70" applyNumberFormat="1" applyFont="1" applyFill="1" applyBorder="1" applyAlignment="1">
      <alignment/>
    </xf>
    <xf numFmtId="164" fontId="8" fillId="10" borderId="10" xfId="70" applyNumberFormat="1" applyFont="1" applyFill="1" applyBorder="1" applyAlignment="1">
      <alignment/>
    </xf>
    <xf numFmtId="164" fontId="8" fillId="10" borderId="10" xfId="70" applyFont="1" applyFill="1" applyBorder="1" applyAlignment="1">
      <alignment/>
    </xf>
    <xf numFmtId="164" fontId="8" fillId="10" borderId="11" xfId="70" applyFont="1" applyFill="1" applyBorder="1" applyAlignment="1">
      <alignment/>
    </xf>
    <xf numFmtId="0" fontId="0" fillId="10" borderId="15" xfId="0" applyFont="1" applyFill="1" applyBorder="1" applyAlignment="1">
      <alignment horizontal="left" vertical="center" wrapText="1"/>
    </xf>
    <xf numFmtId="164" fontId="0" fillId="10" borderId="22" xfId="70" applyFont="1" applyFill="1" applyBorder="1" applyAlignment="1" applyProtection="1">
      <alignment vertical="center"/>
      <protection/>
    </xf>
    <xf numFmtId="164" fontId="0" fillId="10" borderId="15" xfId="70" applyFont="1" applyFill="1" applyBorder="1" applyAlignment="1" applyProtection="1">
      <alignment vertical="center"/>
      <protection/>
    </xf>
    <xf numFmtId="168" fontId="0" fillId="10" borderId="15" xfId="70" applyNumberFormat="1" applyFont="1" applyFill="1" applyBorder="1" applyAlignment="1">
      <alignment horizontal="center" vertical="center"/>
    </xf>
    <xf numFmtId="168" fontId="0" fillId="10" borderId="22" xfId="70" applyNumberFormat="1" applyFont="1" applyFill="1" applyBorder="1" applyAlignment="1" applyProtection="1">
      <alignment horizontal="center" vertical="center"/>
      <protection/>
    </xf>
    <xf numFmtId="164" fontId="0" fillId="10" borderId="22" xfId="70" applyFont="1" applyFill="1" applyBorder="1" applyAlignment="1">
      <alignment horizontal="center" vertical="center"/>
    </xf>
    <xf numFmtId="166" fontId="0" fillId="10" borderId="22" xfId="70" applyNumberFormat="1" applyFont="1" applyFill="1" applyBorder="1" applyAlignment="1">
      <alignment horizontal="center" vertical="center"/>
    </xf>
    <xf numFmtId="164" fontId="0" fillId="10" borderId="15" xfId="70" applyFont="1" applyFill="1" applyBorder="1" applyAlignment="1">
      <alignment horizontal="center" vertical="center"/>
    </xf>
    <xf numFmtId="166" fontId="0" fillId="10" borderId="0" xfId="70" applyNumberFormat="1" applyFont="1" applyFill="1" applyBorder="1" applyAlignment="1">
      <alignment horizontal="center" vertical="center"/>
    </xf>
    <xf numFmtId="168" fontId="0" fillId="10" borderId="22" xfId="70" applyNumberFormat="1" applyFont="1" applyFill="1" applyBorder="1" applyAlignment="1">
      <alignment vertical="center"/>
    </xf>
    <xf numFmtId="168" fontId="0" fillId="10" borderId="22" xfId="70" applyNumberFormat="1" applyFont="1" applyFill="1" applyBorder="1" applyAlignment="1" applyProtection="1">
      <alignment vertical="center"/>
      <protection/>
    </xf>
    <xf numFmtId="164" fontId="0" fillId="10" borderId="22" xfId="70" applyFont="1" applyFill="1" applyBorder="1" applyAlignment="1">
      <alignment vertical="center"/>
    </xf>
    <xf numFmtId="164" fontId="0" fillId="10" borderId="15" xfId="70" applyNumberFormat="1" applyFont="1" applyFill="1" applyBorder="1" applyAlignment="1">
      <alignment horizontal="center" vertical="center"/>
    </xf>
    <xf numFmtId="164" fontId="0" fillId="10" borderId="22" xfId="70" applyNumberFormat="1" applyFont="1" applyFill="1" applyBorder="1" applyAlignment="1">
      <alignment horizontal="center" vertical="center"/>
    </xf>
    <xf numFmtId="168" fontId="0" fillId="10" borderId="15" xfId="70" applyNumberFormat="1" applyFont="1" applyFill="1" applyBorder="1" applyAlignment="1">
      <alignment/>
    </xf>
    <xf numFmtId="168" fontId="0" fillId="10" borderId="22" xfId="70" applyNumberFormat="1" applyFont="1" applyFill="1" applyBorder="1" applyAlignment="1">
      <alignment/>
    </xf>
    <xf numFmtId="164" fontId="0" fillId="10" borderId="22" xfId="70" applyNumberFormat="1" applyFont="1" applyFill="1" applyBorder="1" applyAlignment="1">
      <alignment/>
    </xf>
    <xf numFmtId="166" fontId="0" fillId="10" borderId="15" xfId="70" applyNumberFormat="1" applyFont="1" applyFill="1" applyBorder="1" applyAlignment="1">
      <alignment/>
    </xf>
    <xf numFmtId="166" fontId="0" fillId="10" borderId="22" xfId="70" applyNumberFormat="1" applyFont="1" applyFill="1" applyBorder="1" applyAlignment="1">
      <alignment/>
    </xf>
    <xf numFmtId="164" fontId="0" fillId="10" borderId="15" xfId="70" applyNumberFormat="1" applyFont="1" applyFill="1" applyBorder="1" applyAlignment="1">
      <alignment/>
    </xf>
    <xf numFmtId="0" fontId="0" fillId="10" borderId="18" xfId="0" applyFont="1" applyFill="1" applyBorder="1" applyAlignment="1">
      <alignment horizontal="left" vertical="center" wrapText="1"/>
    </xf>
    <xf numFmtId="164" fontId="0" fillId="10" borderId="23" xfId="70" applyFont="1" applyFill="1" applyBorder="1" applyAlignment="1" applyProtection="1">
      <alignment vertical="center"/>
      <protection/>
    </xf>
    <xf numFmtId="168" fontId="0" fillId="10" borderId="23" xfId="70" applyNumberFormat="1" applyFont="1" applyFill="1" applyBorder="1" applyAlignment="1">
      <alignment/>
    </xf>
    <xf numFmtId="164" fontId="0" fillId="10" borderId="23" xfId="70" applyNumberFormat="1" applyFont="1" applyFill="1" applyBorder="1" applyAlignment="1">
      <alignment/>
    </xf>
    <xf numFmtId="166" fontId="0" fillId="10" borderId="23" xfId="70" applyNumberFormat="1" applyFont="1" applyFill="1" applyBorder="1" applyAlignment="1">
      <alignment/>
    </xf>
    <xf numFmtId="166" fontId="0" fillId="10" borderId="19" xfId="70" applyNumberFormat="1" applyFont="1" applyFill="1" applyBorder="1" applyAlignment="1">
      <alignment horizontal="center" vertical="center"/>
    </xf>
    <xf numFmtId="164" fontId="8" fillId="10" borderId="10" xfId="70" applyNumberFormat="1" applyFont="1" applyFill="1" applyBorder="1" applyAlignment="1">
      <alignment vertical="center"/>
    </xf>
    <xf numFmtId="164" fontId="0" fillId="10" borderId="10" xfId="70" applyFont="1" applyFill="1" applyBorder="1" applyAlignment="1" applyProtection="1">
      <alignment vertical="center"/>
      <protection/>
    </xf>
    <xf numFmtId="164" fontId="0" fillId="10" borderId="12" xfId="70" applyFont="1" applyFill="1" applyBorder="1" applyAlignment="1" applyProtection="1">
      <alignment vertical="center"/>
      <protection/>
    </xf>
    <xf numFmtId="168" fontId="0" fillId="10" borderId="12" xfId="70" applyNumberFormat="1" applyFont="1" applyFill="1" applyBorder="1" applyAlignment="1">
      <alignment/>
    </xf>
    <xf numFmtId="168" fontId="0" fillId="10" borderId="10" xfId="70" applyNumberFormat="1" applyFont="1" applyFill="1" applyBorder="1" applyAlignment="1">
      <alignment/>
    </xf>
    <xf numFmtId="164" fontId="0" fillId="10" borderId="10" xfId="70" applyFont="1" applyFill="1" applyBorder="1" applyAlignment="1">
      <alignment/>
    </xf>
    <xf numFmtId="166" fontId="0" fillId="10" borderId="10" xfId="70" applyNumberFormat="1" applyFont="1" applyFill="1" applyBorder="1" applyAlignment="1">
      <alignment/>
    </xf>
    <xf numFmtId="164" fontId="0" fillId="10" borderId="10" xfId="70" applyNumberFormat="1" applyFont="1" applyFill="1" applyBorder="1" applyAlignment="1">
      <alignment/>
    </xf>
    <xf numFmtId="166" fontId="0" fillId="10" borderId="24" xfId="70" applyNumberFormat="1" applyFont="1" applyFill="1" applyBorder="1" applyAlignment="1">
      <alignment horizontal="center" vertical="center"/>
    </xf>
    <xf numFmtId="164" fontId="0" fillId="10" borderId="18" xfId="70" applyFont="1" applyFill="1" applyBorder="1" applyAlignment="1" applyProtection="1">
      <alignment vertical="center"/>
      <protection/>
    </xf>
    <xf numFmtId="168" fontId="0" fillId="10" borderId="18" xfId="70" applyNumberFormat="1" applyFont="1" applyFill="1" applyBorder="1" applyAlignment="1">
      <alignment/>
    </xf>
    <xf numFmtId="0" fontId="8" fillId="10" borderId="30" xfId="0" applyFont="1" applyFill="1" applyBorder="1" applyAlignment="1">
      <alignment horizontal="left" vertical="center" wrapText="1"/>
    </xf>
    <xf numFmtId="164" fontId="8" fillId="10" borderId="31" xfId="70" applyFont="1" applyFill="1" applyBorder="1" applyAlignment="1" applyProtection="1">
      <alignment vertical="center"/>
      <protection/>
    </xf>
    <xf numFmtId="168" fontId="8" fillId="10" borderId="31" xfId="70" applyNumberFormat="1" applyFont="1" applyFill="1" applyBorder="1" applyAlignment="1" applyProtection="1">
      <alignment vertical="center"/>
      <protection/>
    </xf>
    <xf numFmtId="166" fontId="8" fillId="10" borderId="23" xfId="70" applyNumberFormat="1" applyFont="1" applyFill="1" applyBorder="1" applyAlignment="1">
      <alignment/>
    </xf>
    <xf numFmtId="165" fontId="8" fillId="10" borderId="31" xfId="70" applyNumberFormat="1" applyFont="1" applyFill="1" applyBorder="1" applyAlignment="1">
      <alignment/>
    </xf>
    <xf numFmtId="164" fontId="8" fillId="10" borderId="23" xfId="70" applyNumberFormat="1" applyFont="1" applyFill="1" applyBorder="1" applyAlignment="1">
      <alignment vertical="center"/>
    </xf>
    <xf numFmtId="164" fontId="8" fillId="10" borderId="31" xfId="70" applyFont="1" applyFill="1" applyBorder="1" applyAlignment="1">
      <alignment/>
    </xf>
    <xf numFmtId="164" fontId="8" fillId="10" borderId="38" xfId="70" applyFont="1" applyFill="1" applyBorder="1" applyAlignment="1">
      <alignment/>
    </xf>
    <xf numFmtId="0" fontId="0" fillId="10" borderId="27" xfId="0" applyFont="1" applyFill="1" applyBorder="1" applyAlignment="1">
      <alignment vertical="center" wrapText="1"/>
    </xf>
    <xf numFmtId="164" fontId="0" fillId="10" borderId="28" xfId="70" applyNumberFormat="1" applyFont="1" applyFill="1" applyBorder="1" applyAlignment="1" applyProtection="1">
      <alignment vertical="center"/>
      <protection/>
    </xf>
    <xf numFmtId="168" fontId="0" fillId="10" borderId="28" xfId="70" applyNumberFormat="1" applyFont="1" applyFill="1" applyBorder="1" applyAlignment="1" applyProtection="1">
      <alignment vertical="center"/>
      <protection/>
    </xf>
    <xf numFmtId="166" fontId="0" fillId="10" borderId="28" xfId="70" applyNumberFormat="1" applyFont="1" applyFill="1" applyBorder="1" applyAlignment="1">
      <alignment/>
    </xf>
    <xf numFmtId="164" fontId="0" fillId="10" borderId="28" xfId="70" applyNumberFormat="1" applyFont="1" applyFill="1" applyBorder="1" applyAlignment="1">
      <alignment/>
    </xf>
    <xf numFmtId="166" fontId="0" fillId="10" borderId="37" xfId="70" applyNumberFormat="1" applyFont="1" applyFill="1" applyBorder="1" applyAlignment="1">
      <alignment horizontal="center" vertical="center"/>
    </xf>
    <xf numFmtId="164" fontId="8" fillId="10" borderId="31" xfId="70" applyNumberFormat="1" applyFont="1" applyFill="1" applyBorder="1" applyAlignment="1" applyProtection="1">
      <alignment vertical="center"/>
      <protection/>
    </xf>
    <xf numFmtId="166" fontId="8" fillId="10" borderId="31" xfId="70" applyNumberFormat="1" applyFont="1" applyFill="1" applyBorder="1" applyAlignment="1">
      <alignment/>
    </xf>
    <xf numFmtId="166" fontId="8" fillId="10" borderId="34" xfId="70" applyNumberFormat="1" applyFont="1" applyFill="1" applyBorder="1" applyAlignment="1">
      <alignment/>
    </xf>
    <xf numFmtId="164" fontId="8" fillId="10" borderId="31" xfId="70" applyNumberFormat="1" applyFont="1" applyFill="1" applyBorder="1" applyAlignment="1">
      <alignment/>
    </xf>
    <xf numFmtId="164" fontId="8" fillId="10" borderId="34" xfId="70" applyFont="1" applyFill="1" applyBorder="1" applyAlignment="1">
      <alignment/>
    </xf>
    <xf numFmtId="164" fontId="8" fillId="10" borderId="35" xfId="70" applyFont="1" applyFill="1" applyBorder="1" applyAlignment="1">
      <alignment/>
    </xf>
    <xf numFmtId="164" fontId="0" fillId="10" borderId="29" xfId="70" applyFont="1" applyFill="1" applyBorder="1" applyAlignment="1" applyProtection="1">
      <alignment vertical="center"/>
      <protection/>
    </xf>
    <xf numFmtId="168" fontId="0" fillId="10" borderId="29" xfId="0" applyNumberFormat="1" applyFont="1" applyFill="1" applyBorder="1" applyAlignment="1">
      <alignment/>
    </xf>
    <xf numFmtId="166" fontId="0" fillId="10" borderId="29" xfId="70" applyNumberFormat="1" applyFont="1" applyFill="1" applyBorder="1" applyAlignment="1">
      <alignment/>
    </xf>
    <xf numFmtId="164" fontId="0" fillId="10" borderId="29" xfId="70" applyFont="1" applyFill="1" applyBorder="1" applyAlignment="1">
      <alignment/>
    </xf>
    <xf numFmtId="164" fontId="0" fillId="10" borderId="0" xfId="70" applyFont="1" applyFill="1" applyBorder="1" applyAlignment="1">
      <alignment/>
    </xf>
    <xf numFmtId="0" fontId="13" fillId="10" borderId="15" xfId="0" applyFont="1" applyFill="1" applyBorder="1" applyAlignment="1">
      <alignment horizontal="left" vertical="center" wrapText="1" indent="2"/>
    </xf>
    <xf numFmtId="166" fontId="117" fillId="10" borderId="22" xfId="70" applyNumberFormat="1" applyFont="1" applyFill="1" applyBorder="1" applyAlignment="1">
      <alignment/>
    </xf>
    <xf numFmtId="164" fontId="0" fillId="10" borderId="22" xfId="70" applyFont="1" applyFill="1" applyBorder="1" applyAlignment="1">
      <alignment/>
    </xf>
    <xf numFmtId="0" fontId="8" fillId="10" borderId="36" xfId="0" applyFont="1" applyFill="1" applyBorder="1" applyAlignment="1">
      <alignment horizontal="left" vertical="center" wrapText="1"/>
    </xf>
    <xf numFmtId="164" fontId="8" fillId="10" borderId="34" xfId="0" applyNumberFormat="1" applyFont="1" applyFill="1" applyBorder="1" applyAlignment="1">
      <alignment/>
    </xf>
    <xf numFmtId="168" fontId="8" fillId="10" borderId="34" xfId="0" applyNumberFormat="1" applyFont="1" applyFill="1" applyBorder="1" applyAlignment="1">
      <alignment/>
    </xf>
    <xf numFmtId="168" fontId="0" fillId="10" borderId="28" xfId="70" applyNumberFormat="1" applyFont="1" applyFill="1" applyBorder="1" applyAlignment="1">
      <alignment/>
    </xf>
    <xf numFmtId="0" fontId="0" fillId="16" borderId="27" xfId="0" applyFont="1" applyFill="1" applyBorder="1" applyAlignment="1">
      <alignment horizontal="left" vertical="center" wrapText="1"/>
    </xf>
    <xf numFmtId="164" fontId="0" fillId="16" borderId="27" xfId="70" applyFont="1" applyFill="1" applyBorder="1" applyAlignment="1" applyProtection="1">
      <alignment vertical="center"/>
      <protection/>
    </xf>
    <xf numFmtId="164" fontId="0" fillId="16" borderId="28" xfId="70" applyFont="1" applyFill="1" applyBorder="1" applyAlignment="1" applyProtection="1">
      <alignment vertical="center"/>
      <protection/>
    </xf>
    <xf numFmtId="168" fontId="0" fillId="16" borderId="28" xfId="70" applyNumberFormat="1" applyFont="1" applyFill="1" applyBorder="1" applyAlignment="1">
      <alignment/>
    </xf>
    <xf numFmtId="166" fontId="0" fillId="16" borderId="28" xfId="70" applyNumberFormat="1" applyFont="1" applyFill="1" applyBorder="1" applyAlignment="1">
      <alignment/>
    </xf>
    <xf numFmtId="164" fontId="0" fillId="16" borderId="28" xfId="70" applyFont="1" applyFill="1" applyBorder="1" applyAlignment="1">
      <alignment/>
    </xf>
    <xf numFmtId="166" fontId="0" fillId="16" borderId="37" xfId="70" applyNumberFormat="1" applyFont="1" applyFill="1" applyBorder="1" applyAlignment="1">
      <alignment horizontal="center" vertical="center"/>
    </xf>
    <xf numFmtId="0" fontId="8" fillId="16" borderId="30" xfId="0" applyFont="1" applyFill="1" applyBorder="1" applyAlignment="1">
      <alignment horizontal="left" vertical="center" wrapText="1"/>
    </xf>
    <xf numFmtId="164" fontId="8" fillId="16" borderId="31" xfId="70" applyFont="1" applyFill="1" applyBorder="1" applyAlignment="1" applyProtection="1">
      <alignment vertical="center"/>
      <protection/>
    </xf>
    <xf numFmtId="168" fontId="8" fillId="16" borderId="31" xfId="70" applyNumberFormat="1" applyFont="1" applyFill="1" applyBorder="1" applyAlignment="1" applyProtection="1">
      <alignment vertical="center"/>
      <protection/>
    </xf>
    <xf numFmtId="166" fontId="8" fillId="16" borderId="31" xfId="70" applyNumberFormat="1" applyFont="1" applyFill="1" applyBorder="1" applyAlignment="1">
      <alignment/>
    </xf>
    <xf numFmtId="166" fontId="8" fillId="16" borderId="34" xfId="70" applyNumberFormat="1" applyFont="1" applyFill="1" applyBorder="1" applyAlignment="1">
      <alignment/>
    </xf>
    <xf numFmtId="164" fontId="8" fillId="16" borderId="31" xfId="70" applyNumberFormat="1" applyFont="1" applyFill="1" applyBorder="1" applyAlignment="1">
      <alignment/>
    </xf>
    <xf numFmtId="164" fontId="8" fillId="16" borderId="34" xfId="70" applyFont="1" applyFill="1" applyBorder="1" applyAlignment="1">
      <alignment/>
    </xf>
    <xf numFmtId="164" fontId="8" fillId="16" borderId="35" xfId="70" applyFont="1" applyFill="1" applyBorder="1" applyAlignment="1">
      <alignment/>
    </xf>
    <xf numFmtId="164" fontId="0" fillId="16" borderId="28" xfId="70" applyNumberFormat="1" applyFont="1" applyFill="1" applyBorder="1" applyAlignment="1" applyProtection="1">
      <alignment vertical="center"/>
      <protection/>
    </xf>
    <xf numFmtId="164" fontId="0" fillId="16" borderId="27" xfId="70" applyNumberFormat="1" applyFont="1" applyFill="1" applyBorder="1" applyAlignment="1" applyProtection="1">
      <alignment vertical="center"/>
      <protection/>
    </xf>
    <xf numFmtId="168" fontId="0" fillId="16" borderId="27" xfId="70" applyNumberFormat="1" applyFont="1" applyFill="1" applyBorder="1" applyAlignment="1">
      <alignment/>
    </xf>
    <xf numFmtId="164" fontId="0" fillId="16" borderId="28" xfId="70" applyNumberFormat="1" applyFont="1" applyFill="1" applyBorder="1" applyAlignment="1">
      <alignment/>
    </xf>
    <xf numFmtId="164" fontId="8" fillId="16" borderId="31" xfId="70" applyNumberFormat="1" applyFont="1" applyFill="1" applyBorder="1" applyAlignment="1" applyProtection="1">
      <alignment vertical="center"/>
      <protection/>
    </xf>
    <xf numFmtId="168" fontId="0" fillId="10" borderId="27" xfId="70" applyNumberFormat="1" applyFont="1" applyFill="1" applyBorder="1" applyAlignment="1">
      <alignment/>
    </xf>
    <xf numFmtId="164" fontId="0" fillId="16" borderId="22" xfId="70" applyNumberFormat="1" applyFont="1" applyFill="1" applyBorder="1" applyAlignment="1" applyProtection="1">
      <alignment vertical="center"/>
      <protection/>
    </xf>
    <xf numFmtId="164" fontId="0" fillId="16" borderId="15" xfId="70" applyNumberFormat="1" applyFont="1" applyFill="1" applyBorder="1" applyAlignment="1" applyProtection="1">
      <alignment vertical="center"/>
      <protection/>
    </xf>
    <xf numFmtId="166" fontId="117" fillId="16" borderId="22" xfId="70" applyNumberFormat="1" applyFont="1" applyFill="1" applyBorder="1" applyAlignment="1">
      <alignment/>
    </xf>
    <xf numFmtId="166" fontId="0" fillId="16" borderId="43" xfId="70" applyNumberFormat="1" applyFont="1" applyFill="1" applyBorder="1" applyAlignment="1">
      <alignment horizontal="center" vertical="center"/>
    </xf>
    <xf numFmtId="164" fontId="0" fillId="16" borderId="23" xfId="70" applyNumberFormat="1" applyFont="1" applyFill="1" applyBorder="1" applyAlignment="1" applyProtection="1">
      <alignment vertical="center"/>
      <protection/>
    </xf>
    <xf numFmtId="164" fontId="0" fillId="16" borderId="23" xfId="70" applyNumberFormat="1" applyFont="1" applyFill="1" applyBorder="1" applyAlignment="1">
      <alignment vertical="center"/>
    </xf>
    <xf numFmtId="164" fontId="0" fillId="16" borderId="18" xfId="70" applyNumberFormat="1" applyFont="1" applyFill="1" applyBorder="1" applyAlignment="1">
      <alignment vertical="center"/>
    </xf>
    <xf numFmtId="166" fontId="117" fillId="16" borderId="23" xfId="70" applyNumberFormat="1" applyFont="1" applyFill="1" applyBorder="1" applyAlignment="1">
      <alignment/>
    </xf>
    <xf numFmtId="168" fontId="8" fillId="16" borderId="31" xfId="70" applyNumberFormat="1" applyFont="1" applyFill="1" applyBorder="1" applyAlignment="1">
      <alignment/>
    </xf>
    <xf numFmtId="168" fontId="8" fillId="10" borderId="31" xfId="70" applyNumberFormat="1" applyFont="1" applyFill="1" applyBorder="1" applyAlignment="1">
      <alignment/>
    </xf>
    <xf numFmtId="168" fontId="8" fillId="10" borderId="30" xfId="70" applyNumberFormat="1" applyFont="1" applyFill="1" applyBorder="1" applyAlignment="1">
      <alignment/>
    </xf>
    <xf numFmtId="0" fontId="0" fillId="10" borderId="29" xfId="0" applyFont="1" applyFill="1" applyBorder="1" applyAlignment="1">
      <alignment horizontal="center" vertical="center"/>
    </xf>
    <xf numFmtId="173" fontId="8" fillId="0" borderId="10" xfId="70" applyNumberFormat="1" applyFont="1" applyFill="1" applyBorder="1" applyAlignment="1" applyProtection="1">
      <alignment vertical="center"/>
      <protection locked="0"/>
    </xf>
    <xf numFmtId="0" fontId="8" fillId="16" borderId="0" xfId="0" applyFont="1" applyFill="1" applyBorder="1" applyAlignment="1">
      <alignment horizontal="center" vertical="center"/>
    </xf>
    <xf numFmtId="173" fontId="8" fillId="0" borderId="10" xfId="70" applyNumberFormat="1" applyFont="1" applyFill="1" applyBorder="1" applyAlignment="1" applyProtection="1">
      <alignment horizontal="center" vertical="center"/>
      <protection/>
    </xf>
    <xf numFmtId="0" fontId="4" fillId="0" borderId="0" xfId="0" applyFont="1" applyAlignment="1" quotePrefix="1">
      <alignment/>
    </xf>
    <xf numFmtId="173" fontId="8" fillId="0" borderId="23" xfId="70" applyNumberFormat="1" applyFont="1" applyFill="1" applyBorder="1" applyAlignment="1" applyProtection="1">
      <alignment vertical="center"/>
      <protection locked="0"/>
    </xf>
    <xf numFmtId="173" fontId="0" fillId="0" borderId="44" xfId="70" applyNumberFormat="1" applyFont="1" applyFill="1" applyBorder="1" applyAlignment="1" applyProtection="1">
      <alignment vertical="center"/>
      <protection locked="0"/>
    </xf>
    <xf numFmtId="173" fontId="8" fillId="0" borderId="45" xfId="70" applyNumberFormat="1" applyFont="1" applyFill="1" applyBorder="1" applyAlignment="1" applyProtection="1">
      <alignment vertical="center"/>
      <protection locked="0"/>
    </xf>
    <xf numFmtId="173" fontId="8" fillId="0" borderId="46" xfId="70" applyNumberFormat="1" applyFont="1" applyFill="1" applyBorder="1" applyAlignment="1" applyProtection="1">
      <alignment vertical="center"/>
      <protection locked="0"/>
    </xf>
    <xf numFmtId="175" fontId="8" fillId="0" borderId="47" xfId="70" applyNumberFormat="1" applyFont="1" applyFill="1" applyBorder="1" applyAlignment="1" applyProtection="1">
      <alignment horizontal="center" vertical="center"/>
      <protection/>
    </xf>
    <xf numFmtId="173" fontId="8" fillId="0" borderId="46" xfId="70" applyNumberFormat="1" applyFont="1" applyFill="1" applyBorder="1" applyAlignment="1" applyProtection="1">
      <alignment horizontal="center" vertical="center"/>
      <protection/>
    </xf>
    <xf numFmtId="173" fontId="0" fillId="0" borderId="48" xfId="70" applyNumberFormat="1" applyFont="1" applyFill="1" applyBorder="1" applyAlignment="1" applyProtection="1">
      <alignment vertical="center"/>
      <protection/>
    </xf>
    <xf numFmtId="173" fontId="0" fillId="0" borderId="44" xfId="70" applyNumberFormat="1" applyFont="1" applyFill="1" applyBorder="1" applyAlignment="1" applyProtection="1">
      <alignment vertical="center"/>
      <protection/>
    </xf>
    <xf numFmtId="173" fontId="8" fillId="0" borderId="45" xfId="70" applyNumberFormat="1" applyFont="1" applyBorder="1" applyAlignment="1">
      <alignment horizontal="right" vertical="center"/>
    </xf>
    <xf numFmtId="173" fontId="8" fillId="0" borderId="46" xfId="70" applyNumberFormat="1" applyFont="1" applyFill="1" applyBorder="1" applyAlignment="1" applyProtection="1">
      <alignment vertical="center"/>
      <protection/>
    </xf>
    <xf numFmtId="173" fontId="8" fillId="0" borderId="24" xfId="70" applyNumberFormat="1" applyFont="1" applyFill="1" applyBorder="1" applyAlignment="1" applyProtection="1">
      <alignment vertical="center"/>
      <protection/>
    </xf>
    <xf numFmtId="173" fontId="8" fillId="0" borderId="12" xfId="70" applyNumberFormat="1" applyFont="1" applyFill="1" applyBorder="1" applyAlignment="1" applyProtection="1">
      <alignment vertical="center"/>
      <protection/>
    </xf>
    <xf numFmtId="167" fontId="18" fillId="0" borderId="49" xfId="70" applyNumberFormat="1" applyFont="1" applyFill="1" applyBorder="1" applyAlignment="1" applyProtection="1">
      <alignment horizontal="left" vertical="center"/>
      <protection/>
    </xf>
    <xf numFmtId="178" fontId="0" fillId="0" borderId="46" xfId="70" applyNumberFormat="1" applyFont="1" applyFill="1" applyBorder="1" applyAlignment="1">
      <alignment vertical="center"/>
    </xf>
    <xf numFmtId="178" fontId="8" fillId="0" borderId="50" xfId="70" applyNumberFormat="1" applyFont="1" applyFill="1" applyBorder="1" applyAlignment="1">
      <alignment vertical="center"/>
    </xf>
    <xf numFmtId="178" fontId="8" fillId="0" borderId="46" xfId="70" applyNumberFormat="1" applyFont="1" applyFill="1" applyBorder="1" applyAlignment="1">
      <alignment vertical="center"/>
    </xf>
    <xf numFmtId="173" fontId="8" fillId="0" borderId="10" xfId="70" applyNumberFormat="1" applyFont="1" applyFill="1" applyBorder="1" applyAlignment="1" applyProtection="1">
      <alignment vertical="center"/>
      <protection/>
    </xf>
    <xf numFmtId="173" fontId="8" fillId="0" borderId="28" xfId="70" applyNumberFormat="1" applyFont="1" applyFill="1" applyBorder="1" applyAlignment="1" applyProtection="1">
      <alignment horizontal="center" vertical="center"/>
      <protection/>
    </xf>
    <xf numFmtId="173" fontId="8" fillId="0" borderId="37" xfId="70" applyNumberFormat="1" applyFont="1" applyFill="1" applyBorder="1" applyAlignment="1" applyProtection="1">
      <alignment vertical="center"/>
      <protection/>
    </xf>
    <xf numFmtId="175" fontId="8" fillId="0" borderId="51" xfId="70" applyNumberFormat="1" applyFont="1" applyFill="1" applyBorder="1" applyAlignment="1" applyProtection="1">
      <alignment horizontal="center" vertical="center"/>
      <protection/>
    </xf>
    <xf numFmtId="173" fontId="8" fillId="0" borderId="45" xfId="70" applyNumberFormat="1" applyFont="1" applyFill="1" applyBorder="1" applyAlignment="1" applyProtection="1">
      <alignment vertical="center"/>
      <protection/>
    </xf>
    <xf numFmtId="173" fontId="8" fillId="0" borderId="23" xfId="70" applyNumberFormat="1" applyFont="1" applyFill="1" applyBorder="1" applyAlignment="1" applyProtection="1">
      <alignment horizontal="center" vertical="center"/>
      <protection/>
    </xf>
    <xf numFmtId="173" fontId="8" fillId="0" borderId="44" xfId="70" applyNumberFormat="1" applyFont="1" applyFill="1" applyBorder="1" applyAlignment="1" applyProtection="1">
      <alignment vertical="center"/>
      <protection locked="0"/>
    </xf>
    <xf numFmtId="173" fontId="8" fillId="0" borderId="50" xfId="70" applyNumberFormat="1" applyFont="1" applyFill="1" applyBorder="1" applyAlignment="1" applyProtection="1">
      <alignment vertical="center"/>
      <protection locked="0"/>
    </xf>
    <xf numFmtId="173" fontId="8" fillId="0" borderId="28" xfId="70" applyNumberFormat="1" applyFont="1" applyFill="1" applyBorder="1" applyAlignment="1" applyProtection="1">
      <alignment vertical="center"/>
      <protection locked="0"/>
    </xf>
    <xf numFmtId="175" fontId="8" fillId="0" borderId="52" xfId="70" applyNumberFormat="1" applyFont="1" applyFill="1" applyBorder="1" applyAlignment="1" applyProtection="1">
      <alignment horizontal="center" vertical="center"/>
      <protection/>
    </xf>
    <xf numFmtId="173" fontId="8" fillId="0" borderId="28" xfId="70" applyNumberFormat="1" applyFont="1" applyBorder="1" applyAlignment="1">
      <alignment horizontal="right" vertical="center"/>
    </xf>
    <xf numFmtId="173" fontId="8" fillId="0" borderId="10" xfId="70" applyNumberFormat="1" applyFont="1" applyBorder="1" applyAlignment="1">
      <alignment horizontal="right" vertical="center"/>
    </xf>
    <xf numFmtId="173" fontId="0" fillId="0" borderId="50" xfId="70" applyNumberFormat="1" applyFont="1" applyBorder="1" applyAlignment="1">
      <alignment horizontal="right" vertical="center"/>
    </xf>
    <xf numFmtId="173" fontId="0" fillId="0" borderId="28" xfId="70" applyNumberFormat="1" applyFont="1" applyBorder="1" applyAlignment="1">
      <alignment horizontal="right" vertical="center"/>
    </xf>
    <xf numFmtId="175" fontId="0" fillId="0" borderId="52" xfId="70" applyNumberFormat="1" applyFont="1" applyFill="1" applyBorder="1" applyAlignment="1" applyProtection="1">
      <alignment horizontal="center" vertical="center"/>
      <protection/>
    </xf>
    <xf numFmtId="178" fontId="0" fillId="0" borderId="50" xfId="70" applyNumberFormat="1" applyFont="1" applyFill="1" applyBorder="1" applyAlignment="1">
      <alignment vertical="center"/>
    </xf>
    <xf numFmtId="173" fontId="0" fillId="0" borderId="28" xfId="70" applyNumberFormat="1" applyFont="1" applyFill="1" applyBorder="1" applyAlignment="1" applyProtection="1">
      <alignment horizontal="center" vertical="center"/>
      <protection/>
    </xf>
    <xf numFmtId="173" fontId="0" fillId="0" borderId="46" xfId="70" applyNumberFormat="1" applyFont="1" applyBorder="1" applyAlignment="1">
      <alignment horizontal="right" vertical="center"/>
    </xf>
    <xf numFmtId="173" fontId="0" fillId="0" borderId="10" xfId="70" applyNumberFormat="1" applyFont="1" applyBorder="1" applyAlignment="1">
      <alignment horizontal="right" vertical="center"/>
    </xf>
    <xf numFmtId="175" fontId="0" fillId="0" borderId="47" xfId="70" applyNumberFormat="1" applyFont="1" applyFill="1" applyBorder="1" applyAlignment="1" applyProtection="1">
      <alignment horizontal="center" vertical="center"/>
      <protection/>
    </xf>
    <xf numFmtId="178" fontId="0" fillId="0" borderId="45" xfId="70" applyNumberFormat="1" applyFont="1" applyFill="1" applyBorder="1" applyAlignment="1">
      <alignment vertical="center"/>
    </xf>
    <xf numFmtId="173" fontId="0" fillId="0" borderId="45" xfId="70" applyNumberFormat="1" applyFont="1" applyBorder="1" applyAlignment="1">
      <alignment horizontal="right" vertical="center"/>
    </xf>
    <xf numFmtId="173" fontId="0" fillId="0" borderId="23" xfId="70" applyNumberFormat="1" applyFont="1" applyBorder="1" applyAlignment="1">
      <alignment horizontal="right" vertical="center"/>
    </xf>
    <xf numFmtId="175" fontId="0" fillId="0" borderId="53" xfId="70" applyNumberFormat="1" applyFont="1" applyFill="1" applyBorder="1" applyAlignment="1" applyProtection="1">
      <alignment horizontal="center" vertical="center"/>
      <protection/>
    </xf>
    <xf numFmtId="173" fontId="0" fillId="0" borderId="44" xfId="70" applyNumberFormat="1" applyFont="1" applyFill="1" applyBorder="1" applyAlignment="1" applyProtection="1">
      <alignment vertical="center"/>
      <protection/>
    </xf>
    <xf numFmtId="173" fontId="0" fillId="0" borderId="46" xfId="70" applyNumberFormat="1" applyFont="1" applyFill="1" applyBorder="1" applyAlignment="1" applyProtection="1">
      <alignment vertical="center"/>
      <protection/>
    </xf>
    <xf numFmtId="173" fontId="0" fillId="0" borderId="23" xfId="70" applyNumberFormat="1" applyFont="1" applyFill="1" applyBorder="1" applyAlignment="1" applyProtection="1">
      <alignment horizontal="center" vertical="center"/>
      <protection/>
    </xf>
    <xf numFmtId="173" fontId="0" fillId="0" borderId="19" xfId="70" applyNumberFormat="1" applyFont="1" applyBorder="1" applyAlignment="1">
      <alignment horizontal="right" vertical="center"/>
    </xf>
    <xf numFmtId="173" fontId="0" fillId="0" borderId="18" xfId="70" applyNumberFormat="1" applyFont="1" applyFill="1" applyBorder="1" applyAlignment="1" applyProtection="1">
      <alignment horizontal="center" vertical="center"/>
      <protection/>
    </xf>
    <xf numFmtId="3" fontId="5" fillId="2" borderId="0" xfId="0" applyNumberFormat="1" applyFont="1" applyFill="1" applyBorder="1" applyAlignment="1">
      <alignment/>
    </xf>
    <xf numFmtId="168" fontId="0" fillId="33" borderId="10" xfId="70" applyNumberFormat="1" applyFont="1" applyFill="1" applyBorder="1" applyAlignment="1" quotePrefix="1">
      <alignment horizontal="right"/>
    </xf>
    <xf numFmtId="168" fontId="0" fillId="0" borderId="15" xfId="70" applyNumberFormat="1" applyFont="1" applyFill="1" applyBorder="1" applyAlignment="1">
      <alignment/>
    </xf>
    <xf numFmtId="0" fontId="0" fillId="16" borderId="13" xfId="0" applyFont="1" applyFill="1" applyBorder="1" applyAlignment="1">
      <alignment/>
    </xf>
    <xf numFmtId="168" fontId="0" fillId="16" borderId="0" xfId="70" applyNumberFormat="1" applyFont="1" applyFill="1" applyBorder="1" applyAlignment="1">
      <alignment horizontal="right"/>
    </xf>
    <xf numFmtId="168" fontId="0" fillId="16" borderId="20" xfId="70" applyNumberFormat="1" applyFont="1" applyFill="1" applyBorder="1" applyAlignment="1">
      <alignment horizontal="center"/>
    </xf>
    <xf numFmtId="0" fontId="0" fillId="16" borderId="22" xfId="0" applyFont="1" applyFill="1" applyBorder="1" applyAlignment="1">
      <alignment/>
    </xf>
    <xf numFmtId="168" fontId="0" fillId="16" borderId="15" xfId="70" applyNumberFormat="1" applyFont="1" applyFill="1" applyBorder="1" applyAlignment="1">
      <alignment horizontal="center"/>
    </xf>
    <xf numFmtId="168" fontId="0" fillId="16" borderId="15" xfId="70" applyNumberFormat="1" applyFont="1" applyFill="1" applyBorder="1" applyAlignment="1">
      <alignment horizontal="right"/>
    </xf>
    <xf numFmtId="168" fontId="0" fillId="16" borderId="0" xfId="70" applyNumberFormat="1" applyFont="1" applyFill="1" applyAlignment="1">
      <alignment/>
    </xf>
    <xf numFmtId="168" fontId="0" fillId="16" borderId="17" xfId="70" applyNumberFormat="1" applyFont="1" applyFill="1" applyBorder="1" applyAlignment="1">
      <alignment horizontal="right"/>
    </xf>
    <xf numFmtId="168" fontId="0" fillId="16" borderId="19" xfId="70" applyNumberFormat="1" applyFont="1" applyFill="1" applyBorder="1" applyAlignment="1">
      <alignment horizontal="right"/>
    </xf>
    <xf numFmtId="0" fontId="0" fillId="16" borderId="10" xfId="0" applyFont="1" applyFill="1" applyBorder="1" applyAlignment="1">
      <alignment/>
    </xf>
    <xf numFmtId="168" fontId="0" fillId="16" borderId="12" xfId="70" applyNumberFormat="1" applyFont="1" applyFill="1" applyBorder="1" applyAlignment="1">
      <alignment horizontal="center"/>
    </xf>
    <xf numFmtId="168" fontId="0" fillId="16" borderId="18" xfId="70" applyNumberFormat="1" applyFont="1" applyFill="1" applyBorder="1" applyAlignment="1">
      <alignment horizontal="center"/>
    </xf>
    <xf numFmtId="168" fontId="0" fillId="16" borderId="0" xfId="70" applyNumberFormat="1" applyFont="1" applyFill="1" applyAlignment="1">
      <alignment horizontal="right"/>
    </xf>
    <xf numFmtId="168" fontId="0" fillId="16" borderId="19" xfId="70" applyNumberFormat="1" applyFont="1" applyFill="1" applyBorder="1" applyAlignment="1">
      <alignment horizontal="center"/>
    </xf>
    <xf numFmtId="168" fontId="0" fillId="16" borderId="22" xfId="70" applyNumberFormat="1" applyFont="1" applyFill="1" applyBorder="1" applyAlignment="1">
      <alignment/>
    </xf>
    <xf numFmtId="0" fontId="0" fillId="16" borderId="15" xfId="0" applyFont="1" applyFill="1" applyBorder="1" applyAlignment="1" quotePrefix="1">
      <alignment horizontal="center"/>
    </xf>
    <xf numFmtId="166" fontId="0" fillId="16" borderId="15" xfId="70" applyNumberFormat="1" applyFont="1" applyFill="1" applyBorder="1" applyAlignment="1">
      <alignment horizontal="center"/>
    </xf>
    <xf numFmtId="168" fontId="0" fillId="16" borderId="15" xfId="70" applyNumberFormat="1" applyFont="1" applyFill="1" applyBorder="1" applyAlignment="1">
      <alignment vertical="center"/>
    </xf>
    <xf numFmtId="0" fontId="0" fillId="16" borderId="29" xfId="0" applyFont="1" applyFill="1" applyBorder="1" applyAlignment="1" quotePrefix="1">
      <alignment horizontal="center"/>
    </xf>
    <xf numFmtId="168" fontId="0" fillId="16" borderId="29" xfId="70" applyNumberFormat="1" applyFont="1" applyFill="1" applyBorder="1" applyAlignment="1">
      <alignment/>
    </xf>
    <xf numFmtId="166" fontId="0" fillId="16" borderId="22" xfId="70" applyNumberFormat="1" applyFont="1" applyFill="1" applyBorder="1" applyAlignment="1">
      <alignment horizontal="center"/>
    </xf>
    <xf numFmtId="168" fontId="0" fillId="16" borderId="22" xfId="70" applyNumberFormat="1" applyFont="1" applyFill="1" applyBorder="1" applyAlignment="1">
      <alignment vertical="center"/>
    </xf>
    <xf numFmtId="168" fontId="0" fillId="16" borderId="22" xfId="70" applyNumberFormat="1" applyFont="1" applyFill="1" applyBorder="1" applyAlignment="1">
      <alignment horizontal="right"/>
    </xf>
    <xf numFmtId="168" fontId="0" fillId="16" borderId="22" xfId="70" applyNumberFormat="1" applyFont="1" applyFill="1" applyBorder="1" applyAlignment="1">
      <alignment horizontal="center"/>
    </xf>
    <xf numFmtId="166" fontId="0" fillId="16" borderId="23" xfId="70" applyNumberFormat="1" applyFont="1" applyFill="1" applyBorder="1" applyAlignment="1">
      <alignment horizontal="center"/>
    </xf>
    <xf numFmtId="168" fontId="0" fillId="16" borderId="23" xfId="70" applyNumberFormat="1" applyFont="1" applyFill="1" applyBorder="1" applyAlignment="1">
      <alignment vertical="center"/>
    </xf>
    <xf numFmtId="168" fontId="0" fillId="16" borderId="10" xfId="70" applyNumberFormat="1" applyFont="1" applyFill="1" applyBorder="1" applyAlignment="1">
      <alignment horizontal="right"/>
    </xf>
    <xf numFmtId="168" fontId="0" fillId="0" borderId="36" xfId="70" applyNumberFormat="1" applyFont="1" applyBorder="1" applyAlignment="1">
      <alignment horizontal="left" vertical="center"/>
    </xf>
    <xf numFmtId="0" fontId="0" fillId="37" borderId="0" xfId="0" applyFont="1" applyFill="1" applyAlignment="1">
      <alignment/>
    </xf>
    <xf numFmtId="173" fontId="8" fillId="0" borderId="23" xfId="70" applyNumberFormat="1" applyFont="1" applyBorder="1" applyAlignment="1">
      <alignment horizontal="right" vertical="center"/>
    </xf>
    <xf numFmtId="176" fontId="8" fillId="0" borderId="33" xfId="0" applyNumberFormat="1" applyFont="1" applyBorder="1" applyAlignment="1">
      <alignment/>
    </xf>
    <xf numFmtId="49" fontId="18" fillId="16" borderId="0" xfId="56" applyNumberFormat="1" applyFont="1" applyFill="1" applyBorder="1" applyAlignment="1">
      <alignment horizontal="center" vertical="center"/>
      <protection/>
    </xf>
    <xf numFmtId="49" fontId="18" fillId="16" borderId="15" xfId="56" applyNumberFormat="1" applyFont="1" applyFill="1" applyBorder="1" applyAlignment="1">
      <alignment horizontal="center" vertical="center"/>
      <protection/>
    </xf>
    <xf numFmtId="168" fontId="0" fillId="16" borderId="10" xfId="70" applyNumberFormat="1" applyFont="1" applyFill="1" applyBorder="1" applyAlignment="1">
      <alignment horizontal="right"/>
    </xf>
    <xf numFmtId="4" fontId="8" fillId="16" borderId="0" xfId="0" applyNumberFormat="1" applyFont="1" applyFill="1" applyBorder="1" applyAlignment="1">
      <alignment horizontal="center" vertical="center"/>
    </xf>
    <xf numFmtId="0" fontId="5" fillId="8" borderId="20" xfId="0" applyFont="1" applyFill="1" applyBorder="1" applyAlignment="1">
      <alignment horizontal="center" vertical="center"/>
    </xf>
    <xf numFmtId="165" fontId="5" fillId="6" borderId="15" xfId="0" applyNumberFormat="1" applyFont="1" applyFill="1" applyBorder="1" applyAlignment="1">
      <alignment horizontal="center"/>
    </xf>
    <xf numFmtId="0" fontId="5" fillId="6" borderId="15" xfId="0" applyFont="1" applyFill="1" applyBorder="1" applyAlignment="1">
      <alignment horizontal="center"/>
    </xf>
    <xf numFmtId="166" fontId="8" fillId="16" borderId="10" xfId="70" applyNumberFormat="1" applyFont="1" applyFill="1" applyBorder="1" applyAlignment="1">
      <alignment horizontal="center"/>
    </xf>
    <xf numFmtId="168" fontId="8" fillId="16" borderId="17" xfId="70" applyNumberFormat="1" applyFont="1" applyFill="1" applyBorder="1" applyAlignment="1">
      <alignment horizontal="right"/>
    </xf>
    <xf numFmtId="166" fontId="8" fillId="16" borderId="23" xfId="70" applyNumberFormat="1" applyFont="1" applyFill="1" applyBorder="1" applyAlignment="1">
      <alignment horizontal="center"/>
    </xf>
    <xf numFmtId="168" fontId="8" fillId="16" borderId="19" xfId="70" applyNumberFormat="1" applyFont="1" applyFill="1" applyBorder="1" applyAlignment="1">
      <alignment horizontal="right"/>
    </xf>
    <xf numFmtId="168" fontId="8" fillId="16" borderId="23" xfId="70" applyNumberFormat="1" applyFont="1" applyFill="1" applyBorder="1" applyAlignment="1">
      <alignment horizontal="center"/>
    </xf>
    <xf numFmtId="168" fontId="8" fillId="16" borderId="10" xfId="70" applyNumberFormat="1" applyFont="1" applyFill="1" applyBorder="1" applyAlignment="1">
      <alignment horizontal="right"/>
    </xf>
    <xf numFmtId="168" fontId="8" fillId="16" borderId="12" xfId="70" applyNumberFormat="1" applyFont="1" applyFill="1" applyBorder="1" applyAlignment="1">
      <alignment horizontal="right"/>
    </xf>
    <xf numFmtId="164" fontId="8" fillId="16" borderId="18" xfId="70" applyNumberFormat="1" applyFont="1" applyFill="1" applyBorder="1" applyAlignment="1">
      <alignment vertical="center"/>
    </xf>
    <xf numFmtId="165" fontId="5" fillId="12" borderId="15" xfId="0" applyNumberFormat="1" applyFont="1" applyFill="1" applyBorder="1" applyAlignment="1">
      <alignment horizontal="center"/>
    </xf>
    <xf numFmtId="2" fontId="5" fillId="12" borderId="15" xfId="0" applyNumberFormat="1" applyFont="1" applyFill="1" applyBorder="1" applyAlignment="1">
      <alignment horizontal="center"/>
    </xf>
    <xf numFmtId="3" fontId="5" fillId="12" borderId="15" xfId="0" applyNumberFormat="1" applyFont="1" applyFill="1" applyBorder="1" applyAlignment="1">
      <alignment horizontal="center"/>
    </xf>
    <xf numFmtId="3" fontId="5" fillId="6" borderId="15" xfId="0" applyNumberFormat="1" applyFont="1" applyFill="1" applyBorder="1" applyAlignment="1">
      <alignment horizontal="center"/>
    </xf>
    <xf numFmtId="0" fontId="5" fillId="12" borderId="15" xfId="0" applyFont="1" applyFill="1" applyBorder="1" applyAlignment="1">
      <alignment horizontal="center"/>
    </xf>
    <xf numFmtId="164" fontId="8" fillId="16" borderId="12" xfId="70" applyNumberFormat="1" applyFont="1" applyFill="1" applyBorder="1" applyAlignment="1">
      <alignment horizontal="center"/>
    </xf>
    <xf numFmtId="0" fontId="9" fillId="16" borderId="14" xfId="0" applyFont="1" applyFill="1" applyBorder="1" applyAlignment="1">
      <alignment/>
    </xf>
    <xf numFmtId="0" fontId="9" fillId="16" borderId="21" xfId="0" applyFont="1" applyFill="1" applyBorder="1" applyAlignment="1">
      <alignment/>
    </xf>
    <xf numFmtId="0" fontId="9" fillId="16" borderId="20" xfId="0" applyFont="1" applyFill="1" applyBorder="1" applyAlignment="1">
      <alignment/>
    </xf>
    <xf numFmtId="0" fontId="0" fillId="16" borderId="22" xfId="0" applyFont="1" applyFill="1" applyBorder="1" applyAlignment="1">
      <alignment horizontal="center" vertical="center"/>
    </xf>
    <xf numFmtId="0" fontId="123" fillId="16" borderId="0" xfId="0" applyFont="1" applyFill="1" applyBorder="1" applyAlignment="1">
      <alignment horizontal="center"/>
    </xf>
    <xf numFmtId="166" fontId="5" fillId="36" borderId="38" xfId="70" applyNumberFormat="1" applyFont="1" applyFill="1" applyBorder="1" applyAlignment="1">
      <alignment/>
    </xf>
    <xf numFmtId="166" fontId="8" fillId="44" borderId="33" xfId="70" applyNumberFormat="1" applyFont="1" applyFill="1" applyBorder="1" applyAlignment="1">
      <alignment/>
    </xf>
    <xf numFmtId="16" fontId="15" fillId="16" borderId="22" xfId="0" applyNumberFormat="1" applyFont="1" applyFill="1" applyBorder="1" applyAlignment="1">
      <alignment horizontal="center"/>
    </xf>
    <xf numFmtId="0" fontId="7" fillId="16" borderId="0" xfId="0" applyFont="1" applyFill="1" applyBorder="1" applyAlignment="1">
      <alignment/>
    </xf>
    <xf numFmtId="164" fontId="0" fillId="0" borderId="0" xfId="70" applyFont="1" applyBorder="1" applyAlignment="1">
      <alignment/>
    </xf>
    <xf numFmtId="164" fontId="0" fillId="0" borderId="0" xfId="70" applyFont="1" applyBorder="1" applyAlignment="1">
      <alignment/>
    </xf>
    <xf numFmtId="0" fontId="0" fillId="0" borderId="20" xfId="0" applyBorder="1" applyAlignment="1">
      <alignment/>
    </xf>
    <xf numFmtId="2" fontId="12" fillId="16" borderId="0" xfId="0" applyNumberFormat="1" applyFont="1" applyFill="1" applyAlignment="1">
      <alignment horizontal="left"/>
    </xf>
    <xf numFmtId="0" fontId="13" fillId="16" borderId="19" xfId="0" applyFont="1" applyFill="1" applyBorder="1" applyAlignment="1">
      <alignment vertical="center"/>
    </xf>
    <xf numFmtId="2" fontId="0" fillId="0" borderId="20" xfId="0" applyNumberFormat="1" applyBorder="1" applyAlignment="1">
      <alignment/>
    </xf>
    <xf numFmtId="0" fontId="0" fillId="16" borderId="0" xfId="0" applyFont="1" applyFill="1" applyAlignment="1">
      <alignment/>
    </xf>
    <xf numFmtId="0" fontId="5" fillId="2" borderId="0" xfId="0" applyFont="1" applyFill="1" applyBorder="1" applyAlignment="1">
      <alignment/>
    </xf>
    <xf numFmtId="168" fontId="0" fillId="0" borderId="23" xfId="70" applyNumberFormat="1" applyFont="1" applyBorder="1" applyAlignment="1">
      <alignment/>
    </xf>
    <xf numFmtId="168" fontId="0" fillId="0" borderId="10" xfId="70" applyNumberFormat="1" applyFont="1" applyBorder="1" applyAlignment="1">
      <alignment/>
    </xf>
    <xf numFmtId="168" fontId="0" fillId="0" borderId="34" xfId="70" applyNumberFormat="1" applyFont="1" applyBorder="1" applyAlignment="1">
      <alignment/>
    </xf>
    <xf numFmtId="168" fontId="0" fillId="0" borderId="22" xfId="70" applyNumberFormat="1" applyFont="1" applyBorder="1" applyAlignment="1">
      <alignment/>
    </xf>
    <xf numFmtId="171" fontId="23" fillId="19" borderId="12" xfId="58" applyNumberFormat="1" applyFont="1" applyFill="1" applyBorder="1" applyAlignment="1">
      <alignment horizontal="right" vertical="center"/>
    </xf>
    <xf numFmtId="171" fontId="23" fillId="19" borderId="10" xfId="58" applyNumberFormat="1" applyFont="1" applyFill="1" applyBorder="1" applyAlignment="1">
      <alignment horizontal="right" vertical="center"/>
    </xf>
    <xf numFmtId="165" fontId="8" fillId="19" borderId="24" xfId="0" applyNumberFormat="1" applyFont="1" applyFill="1" applyBorder="1" applyAlignment="1">
      <alignment/>
    </xf>
    <xf numFmtId="165" fontId="8" fillId="19" borderId="11" xfId="0" applyNumberFormat="1" applyFont="1" applyFill="1" applyBorder="1" applyAlignment="1">
      <alignment/>
    </xf>
    <xf numFmtId="165" fontId="5" fillId="12" borderId="15" xfId="0" applyNumberFormat="1" applyFont="1" applyFill="1" applyBorder="1" applyAlignment="1">
      <alignment horizontal="center" vertical="center" wrapText="1"/>
    </xf>
    <xf numFmtId="2" fontId="5" fillId="6" borderId="15" xfId="0" applyNumberFormat="1" applyFont="1" applyFill="1" applyBorder="1" applyAlignment="1">
      <alignment horizontal="center"/>
    </xf>
    <xf numFmtId="2" fontId="5" fillId="6" borderId="0" xfId="0" applyNumberFormat="1" applyFont="1" applyFill="1" applyBorder="1" applyAlignment="1">
      <alignment horizontal="center"/>
    </xf>
    <xf numFmtId="171" fontId="29" fillId="19" borderId="10" xfId="58" applyNumberFormat="1" applyFont="1" applyFill="1" applyBorder="1" applyAlignment="1">
      <alignment horizontal="right" vertical="center"/>
    </xf>
    <xf numFmtId="2" fontId="0" fillId="0" borderId="0" xfId="0" applyNumberFormat="1" applyAlignment="1">
      <alignment/>
    </xf>
    <xf numFmtId="0" fontId="8" fillId="36" borderId="0" xfId="0" applyFont="1" applyFill="1" applyBorder="1" applyAlignment="1">
      <alignment horizontal="left"/>
    </xf>
    <xf numFmtId="2" fontId="0" fillId="0" borderId="0" xfId="0" applyNumberFormat="1" applyBorder="1" applyAlignment="1">
      <alignment/>
    </xf>
    <xf numFmtId="0" fontId="5" fillId="16" borderId="41" xfId="0" applyFont="1" applyFill="1" applyBorder="1" applyAlignment="1">
      <alignment horizontal="center"/>
    </xf>
    <xf numFmtId="168" fontId="0" fillId="16" borderId="41" xfId="70" applyNumberFormat="1" applyFont="1" applyFill="1" applyBorder="1" applyAlignment="1">
      <alignment/>
    </xf>
    <xf numFmtId="168" fontId="5" fillId="16" borderId="41" xfId="70" applyNumberFormat="1" applyFont="1" applyFill="1" applyBorder="1" applyAlignment="1">
      <alignment/>
    </xf>
    <xf numFmtId="166" fontId="5" fillId="16" borderId="41" xfId="70" applyNumberFormat="1" applyFont="1" applyFill="1" applyBorder="1" applyAlignment="1">
      <alignment/>
    </xf>
    <xf numFmtId="0" fontId="0" fillId="12" borderId="41" xfId="0" applyFont="1" applyFill="1" applyBorder="1" applyAlignment="1">
      <alignment horizontal="center"/>
    </xf>
    <xf numFmtId="2" fontId="0" fillId="0" borderId="25" xfId="0" applyNumberFormat="1" applyBorder="1" applyAlignment="1">
      <alignment/>
    </xf>
    <xf numFmtId="0" fontId="8" fillId="33" borderId="25" xfId="0" applyFont="1" applyFill="1" applyBorder="1" applyAlignment="1">
      <alignment/>
    </xf>
    <xf numFmtId="0" fontId="8" fillId="12" borderId="25" xfId="0" applyFont="1" applyFill="1" applyBorder="1" applyAlignment="1">
      <alignment horizontal="left"/>
    </xf>
    <xf numFmtId="168" fontId="0" fillId="0" borderId="15" xfId="70" applyNumberFormat="1" applyFont="1" applyBorder="1" applyAlignment="1">
      <alignment/>
    </xf>
    <xf numFmtId="168" fontId="0" fillId="33" borderId="30" xfId="70" applyNumberFormat="1" applyFont="1" applyFill="1" applyBorder="1" applyAlignment="1">
      <alignment/>
    </xf>
    <xf numFmtId="0" fontId="0" fillId="12" borderId="26" xfId="0" applyFill="1" applyBorder="1" applyAlignment="1">
      <alignment horizontal="center"/>
    </xf>
    <xf numFmtId="168" fontId="0" fillId="0" borderId="22" xfId="70" applyNumberFormat="1" applyFont="1" applyBorder="1" applyAlignment="1">
      <alignment/>
    </xf>
    <xf numFmtId="168" fontId="0" fillId="0" borderId="22" xfId="70" applyNumberFormat="1" applyFont="1" applyBorder="1" applyAlignment="1">
      <alignment horizontal="center"/>
    </xf>
    <xf numFmtId="168" fontId="0" fillId="33" borderId="31" xfId="70" applyNumberFormat="1" applyFont="1" applyFill="1" applyBorder="1" applyAlignment="1">
      <alignment/>
    </xf>
    <xf numFmtId="170" fontId="0" fillId="0" borderId="22" xfId="70" applyNumberFormat="1" applyFont="1" applyBorder="1" applyAlignment="1">
      <alignment/>
    </xf>
    <xf numFmtId="168" fontId="8" fillId="12" borderId="30" xfId="70" applyNumberFormat="1" applyFont="1" applyFill="1" applyBorder="1" applyAlignment="1">
      <alignment/>
    </xf>
    <xf numFmtId="170" fontId="8" fillId="12" borderId="31" xfId="0" applyNumberFormat="1" applyFont="1" applyFill="1" applyBorder="1" applyAlignment="1">
      <alignment/>
    </xf>
    <xf numFmtId="2" fontId="8" fillId="12" borderId="25" xfId="0" applyNumberFormat="1" applyFont="1" applyFill="1" applyBorder="1" applyAlignment="1">
      <alignment/>
    </xf>
    <xf numFmtId="0" fontId="0" fillId="12" borderId="26" xfId="0" applyFont="1" applyFill="1" applyBorder="1" applyAlignment="1">
      <alignment horizontal="center"/>
    </xf>
    <xf numFmtId="0" fontId="0" fillId="16" borderId="23" xfId="0" applyFont="1" applyFill="1" applyBorder="1" applyAlignment="1">
      <alignment/>
    </xf>
    <xf numFmtId="168" fontId="0" fillId="16" borderId="24" xfId="70" applyNumberFormat="1" applyFont="1" applyFill="1" applyBorder="1" applyAlignment="1">
      <alignment/>
    </xf>
    <xf numFmtId="0" fontId="0" fillId="16" borderId="15" xfId="0" applyFont="1" applyFill="1" applyBorder="1" applyAlignment="1">
      <alignment horizontal="right"/>
    </xf>
    <xf numFmtId="0" fontId="5" fillId="2" borderId="15" xfId="0" applyFont="1" applyFill="1" applyBorder="1" applyAlignment="1">
      <alignment/>
    </xf>
    <xf numFmtId="3" fontId="8" fillId="36" borderId="0" xfId="0" applyNumberFormat="1" applyFont="1" applyFill="1" applyBorder="1" applyAlignment="1">
      <alignment horizontal="right" vertical="top" wrapText="1"/>
    </xf>
    <xf numFmtId="164" fontId="8" fillId="36" borderId="0" xfId="70" applyNumberFormat="1" applyFont="1" applyFill="1" applyBorder="1" applyAlignment="1" quotePrefix="1">
      <alignment horizontal="right"/>
    </xf>
    <xf numFmtId="4" fontId="8" fillId="36" borderId="0" xfId="0" applyNumberFormat="1" applyFont="1" applyFill="1" applyBorder="1" applyAlignment="1">
      <alignment/>
    </xf>
    <xf numFmtId="4" fontId="117" fillId="36" borderId="0" xfId="0" applyNumberFormat="1" applyFont="1" applyFill="1" applyBorder="1" applyAlignment="1">
      <alignment/>
    </xf>
    <xf numFmtId="164" fontId="8" fillId="16" borderId="23" xfId="70" applyNumberFormat="1" applyFont="1" applyFill="1" applyBorder="1" applyAlignment="1">
      <alignment horizontal="center"/>
    </xf>
    <xf numFmtId="4" fontId="0" fillId="0" borderId="0" xfId="0" applyNumberFormat="1" applyFont="1" applyFill="1" applyBorder="1" applyAlignment="1">
      <alignment/>
    </xf>
    <xf numFmtId="0" fontId="0" fillId="0" borderId="39" xfId="0" applyFont="1" applyBorder="1" applyAlignment="1">
      <alignment/>
    </xf>
    <xf numFmtId="168" fontId="5" fillId="0" borderId="0" xfId="70" applyNumberFormat="1" applyFont="1" applyAlignment="1">
      <alignment/>
    </xf>
    <xf numFmtId="0" fontId="0" fillId="0" borderId="15" xfId="0" applyFont="1" applyBorder="1" applyAlignment="1">
      <alignment/>
    </xf>
    <xf numFmtId="168" fontId="5" fillId="0" borderId="30" xfId="70" applyNumberFormat="1" applyFont="1" applyBorder="1" applyAlignment="1">
      <alignment/>
    </xf>
    <xf numFmtId="166" fontId="8" fillId="44" borderId="31" xfId="70" applyNumberFormat="1" applyFont="1" applyFill="1" applyBorder="1" applyAlignment="1">
      <alignment/>
    </xf>
    <xf numFmtId="167" fontId="0" fillId="0" borderId="10" xfId="0" applyNumberFormat="1" applyFont="1" applyBorder="1" applyAlignment="1">
      <alignment/>
    </xf>
    <xf numFmtId="167" fontId="0" fillId="0" borderId="11" xfId="0" applyNumberFormat="1" applyFont="1" applyBorder="1" applyAlignment="1">
      <alignment/>
    </xf>
    <xf numFmtId="167" fontId="0" fillId="0" borderId="10" xfId="0" applyNumberFormat="1" applyFont="1" applyBorder="1" applyAlignment="1">
      <alignment/>
    </xf>
    <xf numFmtId="167" fontId="0" fillId="0" borderId="11" xfId="0" applyNumberFormat="1" applyFont="1" applyBorder="1" applyAlignment="1">
      <alignment/>
    </xf>
    <xf numFmtId="167" fontId="8" fillId="34" borderId="10" xfId="0" applyNumberFormat="1" applyFont="1" applyFill="1" applyBorder="1" applyAlignment="1">
      <alignment/>
    </xf>
    <xf numFmtId="167" fontId="0" fillId="19" borderId="10" xfId="0" applyNumberFormat="1" applyFont="1" applyFill="1" applyBorder="1" applyAlignment="1">
      <alignment/>
    </xf>
    <xf numFmtId="167" fontId="8" fillId="19" borderId="11" xfId="0" applyNumberFormat="1" applyFont="1" applyFill="1" applyBorder="1" applyAlignment="1">
      <alignment/>
    </xf>
    <xf numFmtId="167" fontId="8" fillId="0" borderId="10" xfId="0" applyNumberFormat="1" applyFont="1" applyBorder="1" applyAlignment="1">
      <alignment/>
    </xf>
    <xf numFmtId="167" fontId="8" fillId="0" borderId="11" xfId="0" applyNumberFormat="1" applyFont="1" applyBorder="1" applyAlignment="1">
      <alignment/>
    </xf>
    <xf numFmtId="167" fontId="8" fillId="34" borderId="11" xfId="0" applyNumberFormat="1" applyFont="1" applyFill="1" applyBorder="1" applyAlignment="1">
      <alignment/>
    </xf>
    <xf numFmtId="167" fontId="0" fillId="33" borderId="10" xfId="70" applyNumberFormat="1" applyFont="1" applyFill="1" applyBorder="1" applyAlignment="1" quotePrefix="1">
      <alignment horizontal="right"/>
    </xf>
    <xf numFmtId="167" fontId="0" fillId="33" borderId="11" xfId="70" applyNumberFormat="1" applyFont="1" applyFill="1" applyBorder="1" applyAlignment="1" quotePrefix="1">
      <alignment horizontal="right"/>
    </xf>
    <xf numFmtId="168" fontId="8" fillId="19" borderId="10" xfId="70" applyNumberFormat="1" applyFont="1" applyFill="1" applyBorder="1" applyAlignment="1" quotePrefix="1">
      <alignment horizontal="right"/>
    </xf>
    <xf numFmtId="167" fontId="0" fillId="0" borderId="10" xfId="0" applyNumberFormat="1" applyFont="1" applyBorder="1" applyAlignment="1">
      <alignment horizontal="center" vertical="center"/>
    </xf>
    <xf numFmtId="167" fontId="0" fillId="0" borderId="11" xfId="0" applyNumberFormat="1" applyFont="1" applyBorder="1" applyAlignment="1">
      <alignment horizontal="center" vertical="center"/>
    </xf>
    <xf numFmtId="167" fontId="8" fillId="34" borderId="26" xfId="0" applyNumberFormat="1" applyFont="1" applyFill="1" applyBorder="1" applyAlignment="1">
      <alignment horizontal="center" vertical="center"/>
    </xf>
    <xf numFmtId="167" fontId="8" fillId="34" borderId="33" xfId="70" applyNumberFormat="1" applyFont="1" applyFill="1" applyBorder="1" applyAlignment="1" quotePrefix="1">
      <alignment horizontal="center" vertical="center"/>
    </xf>
    <xf numFmtId="4" fontId="0" fillId="0" borderId="10" xfId="0" applyNumberFormat="1" applyFont="1" applyBorder="1" applyAlignment="1">
      <alignment horizontal="center" vertical="center"/>
    </xf>
    <xf numFmtId="4" fontId="8" fillId="34" borderId="26" xfId="0" applyNumberFormat="1" applyFont="1" applyFill="1" applyBorder="1" applyAlignment="1">
      <alignment horizontal="center" vertical="center"/>
    </xf>
    <xf numFmtId="0" fontId="29" fillId="36" borderId="27" xfId="51" applyFont="1" applyFill="1" applyBorder="1" applyAlignment="1">
      <alignment horizontal="center" vertical="center"/>
      <protection/>
    </xf>
    <xf numFmtId="167" fontId="8" fillId="36" borderId="18" xfId="70" applyNumberFormat="1" applyFont="1" applyFill="1" applyBorder="1" applyAlignment="1" applyProtection="1">
      <alignment horizontal="center" vertical="center"/>
      <protection/>
    </xf>
    <xf numFmtId="167" fontId="8" fillId="36" borderId="12" xfId="70" applyNumberFormat="1" applyFont="1" applyFill="1" applyBorder="1" applyAlignment="1" applyProtection="1">
      <alignment horizontal="center" vertical="center"/>
      <protection/>
    </xf>
    <xf numFmtId="0" fontId="29" fillId="36" borderId="12" xfId="51" applyFont="1" applyFill="1" applyBorder="1" applyAlignment="1">
      <alignment horizontal="center" vertical="center" wrapText="1"/>
      <protection/>
    </xf>
    <xf numFmtId="0" fontId="29" fillId="0" borderId="18" xfId="51" applyFont="1" applyBorder="1" applyAlignment="1">
      <alignment horizontal="center" vertical="center" wrapText="1"/>
      <protection/>
    </xf>
    <xf numFmtId="167" fontId="8" fillId="0" borderId="15" xfId="70" applyNumberFormat="1" applyFont="1" applyFill="1" applyBorder="1" applyAlignment="1" applyProtection="1">
      <alignment horizontal="center" vertical="center"/>
      <protection/>
    </xf>
    <xf numFmtId="0" fontId="29" fillId="0" borderId="12" xfId="51" applyFont="1" applyBorder="1" applyAlignment="1">
      <alignment horizontal="center" vertical="center" wrapText="1"/>
      <protection/>
    </xf>
    <xf numFmtId="0" fontId="8" fillId="45" borderId="54" xfId="0" applyFont="1" applyFill="1" applyBorder="1" applyAlignment="1">
      <alignment horizontal="center" vertical="center"/>
    </xf>
    <xf numFmtId="0" fontId="8" fillId="45" borderId="31" xfId="0" applyFont="1" applyFill="1" applyBorder="1" applyAlignment="1">
      <alignment horizontal="center" vertical="center"/>
    </xf>
    <xf numFmtId="0" fontId="8" fillId="45" borderId="55" xfId="0" applyFont="1" applyFill="1" applyBorder="1" applyAlignment="1">
      <alignment horizontal="center" vertical="center"/>
    </xf>
    <xf numFmtId="0" fontId="8" fillId="45" borderId="30" xfId="0" applyFont="1" applyFill="1" applyBorder="1" applyAlignment="1">
      <alignment horizontal="center" vertical="center"/>
    </xf>
    <xf numFmtId="0" fontId="8" fillId="45" borderId="38" xfId="0" applyFont="1" applyFill="1" applyBorder="1" applyAlignment="1">
      <alignment horizontal="center" vertical="center"/>
    </xf>
    <xf numFmtId="0" fontId="8" fillId="45" borderId="56" xfId="0" applyFont="1" applyFill="1" applyBorder="1" applyAlignment="1">
      <alignment horizontal="left" vertical="center"/>
    </xf>
    <xf numFmtId="173" fontId="8" fillId="45" borderId="54" xfId="70" applyNumberFormat="1" applyFont="1" applyFill="1" applyBorder="1" applyAlignment="1" applyProtection="1">
      <alignment horizontal="center" vertical="center"/>
      <protection/>
    </xf>
    <xf numFmtId="173" fontId="8" fillId="45" borderId="25" xfId="70" applyNumberFormat="1" applyFont="1" applyFill="1" applyBorder="1" applyAlignment="1" applyProtection="1">
      <alignment horizontal="center" vertical="center"/>
      <protection/>
    </xf>
    <xf numFmtId="173" fontId="8" fillId="45" borderId="30" xfId="70" applyNumberFormat="1" applyFont="1" applyFill="1" applyBorder="1" applyAlignment="1" applyProtection="1">
      <alignment horizontal="center" vertical="center"/>
      <protection/>
    </xf>
    <xf numFmtId="175" fontId="8" fillId="45" borderId="38" xfId="70" applyNumberFormat="1" applyFont="1" applyFill="1" applyBorder="1" applyAlignment="1" applyProtection="1">
      <alignment horizontal="center" vertical="center"/>
      <protection/>
    </xf>
    <xf numFmtId="173" fontId="8" fillId="36" borderId="27" xfId="70" applyNumberFormat="1" applyFont="1" applyFill="1" applyBorder="1" applyAlignment="1" applyProtection="1">
      <alignment vertical="center"/>
      <protection locked="0"/>
    </xf>
    <xf numFmtId="173" fontId="8" fillId="36" borderId="28" xfId="70" applyNumberFormat="1" applyFont="1" applyFill="1" applyBorder="1" applyAlignment="1">
      <alignment horizontal="right" vertical="center"/>
    </xf>
    <xf numFmtId="175" fontId="8" fillId="36" borderId="52" xfId="70" applyNumberFormat="1" applyFont="1" applyFill="1" applyBorder="1" applyAlignment="1" applyProtection="1">
      <alignment horizontal="center" vertical="center"/>
      <protection/>
    </xf>
    <xf numFmtId="178" fontId="8" fillId="36" borderId="50" xfId="70" applyNumberFormat="1" applyFont="1" applyFill="1" applyBorder="1" applyAlignment="1">
      <alignment vertical="center"/>
    </xf>
    <xf numFmtId="173" fontId="8" fillId="36" borderId="28" xfId="70" applyNumberFormat="1" applyFont="1" applyFill="1" applyBorder="1" applyAlignment="1" applyProtection="1">
      <alignment horizontal="center" vertical="center"/>
      <protection/>
    </xf>
    <xf numFmtId="173" fontId="8" fillId="36" borderId="37" xfId="70" applyNumberFormat="1" applyFont="1" applyFill="1" applyBorder="1" applyAlignment="1" applyProtection="1">
      <alignment vertical="center"/>
      <protection/>
    </xf>
    <xf numFmtId="175" fontId="8" fillId="36" borderId="51" xfId="70" applyNumberFormat="1" applyFont="1" applyFill="1" applyBorder="1" applyAlignment="1" applyProtection="1">
      <alignment horizontal="center" vertical="center"/>
      <protection/>
    </xf>
    <xf numFmtId="173" fontId="8" fillId="36" borderId="10" xfId="70" applyNumberFormat="1" applyFont="1" applyFill="1" applyBorder="1" applyAlignment="1" applyProtection="1">
      <alignment vertical="center"/>
      <protection locked="0"/>
    </xf>
    <xf numFmtId="173" fontId="8" fillId="36" borderId="12" xfId="70" applyNumberFormat="1" applyFont="1" applyFill="1" applyBorder="1" applyAlignment="1" applyProtection="1">
      <alignment vertical="center"/>
      <protection locked="0"/>
    </xf>
    <xf numFmtId="173" fontId="8" fillId="36" borderId="10" xfId="70" applyNumberFormat="1" applyFont="1" applyFill="1" applyBorder="1" applyAlignment="1">
      <alignment horizontal="right" vertical="center"/>
    </xf>
    <xf numFmtId="175" fontId="8" fillId="36" borderId="47" xfId="70" applyNumberFormat="1" applyFont="1" applyFill="1" applyBorder="1" applyAlignment="1" applyProtection="1">
      <alignment horizontal="center" vertical="center"/>
      <protection/>
    </xf>
    <xf numFmtId="178" fontId="8" fillId="36" borderId="46" xfId="70" applyNumberFormat="1" applyFont="1" applyFill="1" applyBorder="1" applyAlignment="1">
      <alignment vertical="center"/>
    </xf>
    <xf numFmtId="173" fontId="8" fillId="36" borderId="23" xfId="70" applyNumberFormat="1" applyFont="1" applyFill="1" applyBorder="1" applyAlignment="1" applyProtection="1">
      <alignment horizontal="center" vertical="center"/>
      <protection/>
    </xf>
    <xf numFmtId="173" fontId="8" fillId="36" borderId="45" xfId="70" applyNumberFormat="1" applyFont="1" applyFill="1" applyBorder="1" applyAlignment="1" applyProtection="1">
      <alignment vertical="center"/>
      <protection/>
    </xf>
    <xf numFmtId="175" fontId="8" fillId="36" borderId="17" xfId="70" applyNumberFormat="1" applyFont="1" applyFill="1" applyBorder="1" applyAlignment="1" applyProtection="1">
      <alignment horizontal="center" vertical="center"/>
      <protection/>
    </xf>
    <xf numFmtId="173" fontId="0" fillId="36" borderId="45" xfId="70" applyNumberFormat="1" applyFont="1" applyFill="1" applyBorder="1" applyAlignment="1">
      <alignment horizontal="right" vertical="center"/>
    </xf>
    <xf numFmtId="173" fontId="0" fillId="36" borderId="23" xfId="70" applyNumberFormat="1" applyFont="1" applyFill="1" applyBorder="1" applyAlignment="1">
      <alignment horizontal="right" vertical="center"/>
    </xf>
    <xf numFmtId="175" fontId="0" fillId="36" borderId="53" xfId="70" applyNumberFormat="1" applyFont="1" applyFill="1" applyBorder="1" applyAlignment="1" applyProtection="1">
      <alignment horizontal="center" vertical="center"/>
      <protection/>
    </xf>
    <xf numFmtId="178" fontId="0" fillId="36" borderId="45" xfId="70" applyNumberFormat="1" applyFont="1" applyFill="1" applyBorder="1" applyAlignment="1">
      <alignment vertical="center"/>
    </xf>
    <xf numFmtId="173" fontId="0" fillId="36" borderId="18" xfId="70" applyNumberFormat="1" applyFont="1" applyFill="1" applyBorder="1" applyAlignment="1" applyProtection="1">
      <alignment horizontal="center" vertical="center"/>
      <protection/>
    </xf>
    <xf numFmtId="173" fontId="0" fillId="36" borderId="44" xfId="70" applyNumberFormat="1" applyFont="1" applyFill="1" applyBorder="1" applyAlignment="1" applyProtection="1">
      <alignment vertical="center"/>
      <protection/>
    </xf>
    <xf numFmtId="175" fontId="0" fillId="36" borderId="17" xfId="70" applyNumberFormat="1" applyFont="1" applyFill="1" applyBorder="1" applyAlignment="1" applyProtection="1">
      <alignment horizontal="center" vertical="center"/>
      <protection/>
    </xf>
    <xf numFmtId="173" fontId="8" fillId="36" borderId="46" xfId="70" applyNumberFormat="1" applyFont="1" applyFill="1" applyBorder="1" applyAlignment="1" applyProtection="1">
      <alignment vertical="center"/>
      <protection/>
    </xf>
    <xf numFmtId="173" fontId="8" fillId="36" borderId="24" xfId="70" applyNumberFormat="1" applyFont="1" applyFill="1" applyBorder="1" applyAlignment="1" applyProtection="1">
      <alignment vertical="center"/>
      <protection/>
    </xf>
    <xf numFmtId="178" fontId="8" fillId="36" borderId="12" xfId="70" applyNumberFormat="1" applyFont="1" applyFill="1" applyBorder="1" applyAlignment="1">
      <alignment vertical="center"/>
    </xf>
    <xf numFmtId="175" fontId="8" fillId="36" borderId="11" xfId="70" applyNumberFormat="1" applyFont="1" applyFill="1" applyBorder="1" applyAlignment="1" applyProtection="1">
      <alignment horizontal="center" vertical="center"/>
      <protection/>
    </xf>
    <xf numFmtId="173" fontId="8" fillId="36" borderId="10" xfId="70" applyNumberFormat="1" applyFont="1" applyFill="1" applyBorder="1" applyAlignment="1" applyProtection="1">
      <alignment horizontal="center" vertical="center"/>
      <protection/>
    </xf>
    <xf numFmtId="173" fontId="0" fillId="36" borderId="19" xfId="70" applyNumberFormat="1" applyFont="1" applyFill="1" applyBorder="1" applyAlignment="1">
      <alignment horizontal="right" vertical="center"/>
    </xf>
    <xf numFmtId="173" fontId="8" fillId="36" borderId="10" xfId="70" applyNumberFormat="1" applyFont="1" applyFill="1" applyBorder="1" applyAlignment="1" applyProtection="1">
      <alignment vertical="center"/>
      <protection/>
    </xf>
    <xf numFmtId="173" fontId="0" fillId="36" borderId="17" xfId="70" applyNumberFormat="1" applyFont="1" applyFill="1" applyBorder="1" applyAlignment="1">
      <alignment horizontal="right" vertical="center"/>
    </xf>
    <xf numFmtId="173" fontId="8" fillId="36" borderId="18" xfId="70" applyNumberFormat="1" applyFont="1" applyFill="1" applyBorder="1" applyAlignment="1" applyProtection="1">
      <alignment vertical="center"/>
      <protection locked="0"/>
    </xf>
    <xf numFmtId="175" fontId="8" fillId="36" borderId="53" xfId="70" applyNumberFormat="1" applyFont="1" applyFill="1" applyBorder="1" applyAlignment="1" applyProtection="1">
      <alignment horizontal="center" vertical="center"/>
      <protection/>
    </xf>
    <xf numFmtId="173" fontId="8" fillId="36" borderId="19" xfId="70" applyNumberFormat="1" applyFont="1" applyFill="1" applyBorder="1" applyAlignment="1">
      <alignment horizontal="right" vertical="center"/>
    </xf>
    <xf numFmtId="173" fontId="0" fillId="36" borderId="23" xfId="70" applyNumberFormat="1" applyFont="1" applyFill="1" applyBorder="1" applyAlignment="1" applyProtection="1">
      <alignment horizontal="center" vertical="center"/>
      <protection/>
    </xf>
    <xf numFmtId="0" fontId="4" fillId="45" borderId="39" xfId="0" applyFont="1" applyFill="1" applyBorder="1" applyAlignment="1">
      <alignment/>
    </xf>
    <xf numFmtId="0" fontId="8" fillId="45" borderId="15" xfId="0" applyFont="1" applyFill="1" applyBorder="1" applyAlignment="1">
      <alignment horizontal="left" vertical="center"/>
    </xf>
    <xf numFmtId="0" fontId="8" fillId="45" borderId="30" xfId="0" applyFont="1" applyFill="1" applyBorder="1" applyAlignment="1">
      <alignment horizontal="left" vertical="center"/>
    </xf>
    <xf numFmtId="173" fontId="8" fillId="45" borderId="57" xfId="70" applyNumberFormat="1" applyFont="1" applyFill="1" applyBorder="1" applyAlignment="1" applyProtection="1">
      <alignment horizontal="center" vertical="center"/>
      <protection/>
    </xf>
    <xf numFmtId="173" fontId="8" fillId="45" borderId="58" xfId="70" applyNumberFormat="1" applyFont="1" applyFill="1" applyBorder="1" applyAlignment="1" applyProtection="1">
      <alignment horizontal="center" vertical="center"/>
      <protection/>
    </xf>
    <xf numFmtId="175" fontId="8" fillId="45" borderId="55" xfId="70" applyNumberFormat="1" applyFont="1" applyFill="1" applyBorder="1" applyAlignment="1" applyProtection="1">
      <alignment horizontal="center" vertical="center"/>
      <protection/>
    </xf>
    <xf numFmtId="173" fontId="8" fillId="45" borderId="38" xfId="70" applyNumberFormat="1" applyFont="1" applyFill="1" applyBorder="1" applyAlignment="1" applyProtection="1">
      <alignment horizontal="center" vertical="center"/>
      <protection/>
    </xf>
    <xf numFmtId="0" fontId="30" fillId="0" borderId="19" xfId="51" applyFont="1" applyBorder="1" applyAlignment="1">
      <alignment horizontal="left" vertical="center" wrapText="1"/>
      <protection/>
    </xf>
    <xf numFmtId="173" fontId="0" fillId="0" borderId="22" xfId="70" applyNumberFormat="1" applyFont="1" applyFill="1" applyBorder="1" applyAlignment="1" applyProtection="1">
      <alignment vertical="center"/>
      <protection locked="0"/>
    </xf>
    <xf numFmtId="0" fontId="29" fillId="0" borderId="27" xfId="51" applyFont="1" applyBorder="1" applyAlignment="1">
      <alignment horizontal="center" vertical="center"/>
      <protection/>
    </xf>
    <xf numFmtId="178" fontId="0" fillId="0" borderId="44" xfId="70" applyNumberFormat="1" applyFont="1" applyFill="1" applyBorder="1" applyAlignment="1">
      <alignment vertical="center"/>
    </xf>
    <xf numFmtId="173" fontId="0" fillId="0" borderId="23" xfId="70" applyNumberFormat="1" applyFont="1" applyFill="1" applyBorder="1" applyAlignment="1" applyProtection="1">
      <alignment vertical="center"/>
      <protection locked="0"/>
    </xf>
    <xf numFmtId="0" fontId="29" fillId="0" borderId="19" xfId="51" applyFont="1" applyBorder="1" applyAlignment="1">
      <alignment horizontal="left" vertical="center" wrapText="1"/>
      <protection/>
    </xf>
    <xf numFmtId="167" fontId="13" fillId="0" borderId="19" xfId="70" applyNumberFormat="1" applyFont="1" applyFill="1" applyBorder="1" applyAlignment="1" applyProtection="1">
      <alignment horizontal="left" vertical="center"/>
      <protection/>
    </xf>
    <xf numFmtId="173" fontId="0" fillId="0" borderId="45" xfId="70" applyNumberFormat="1" applyFont="1" applyFill="1" applyBorder="1" applyAlignment="1" applyProtection="1">
      <alignment vertical="center"/>
      <protection locked="0"/>
    </xf>
    <xf numFmtId="178" fontId="0" fillId="36" borderId="44" xfId="70" applyNumberFormat="1" applyFont="1" applyFill="1" applyBorder="1" applyAlignment="1">
      <alignment vertical="center"/>
    </xf>
    <xf numFmtId="178" fontId="8" fillId="36" borderId="45" xfId="70" applyNumberFormat="1" applyFont="1" applyFill="1" applyBorder="1" applyAlignment="1">
      <alignment vertical="center"/>
    </xf>
    <xf numFmtId="173" fontId="8" fillId="36" borderId="45" xfId="70" applyNumberFormat="1" applyFont="1" applyFill="1" applyBorder="1" applyAlignment="1" applyProtection="1">
      <alignment horizontal="center" vertical="center"/>
      <protection/>
    </xf>
    <xf numFmtId="173" fontId="8" fillId="36" borderId="19" xfId="70" applyNumberFormat="1" applyFont="1" applyFill="1" applyBorder="1" applyAlignment="1" applyProtection="1">
      <alignment horizontal="center" vertical="center"/>
      <protection/>
    </xf>
    <xf numFmtId="175" fontId="0" fillId="36" borderId="0" xfId="70" applyNumberFormat="1" applyFont="1" applyFill="1" applyBorder="1" applyAlignment="1" applyProtection="1">
      <alignment horizontal="center" vertical="center"/>
      <protection/>
    </xf>
    <xf numFmtId="0" fontId="29" fillId="36" borderId="19" xfId="51" applyFont="1" applyFill="1" applyBorder="1" applyAlignment="1">
      <alignment horizontal="left" vertical="center" wrapText="1"/>
      <protection/>
    </xf>
    <xf numFmtId="173" fontId="8" fillId="36" borderId="27" xfId="70" applyNumberFormat="1" applyFont="1" applyFill="1" applyBorder="1" applyAlignment="1">
      <alignment horizontal="right" vertical="center"/>
    </xf>
    <xf numFmtId="173" fontId="8" fillId="36" borderId="12" xfId="70" applyNumberFormat="1" applyFont="1" applyFill="1" applyBorder="1" applyAlignment="1">
      <alignment horizontal="right" vertical="center"/>
    </xf>
    <xf numFmtId="173" fontId="0" fillId="36" borderId="18" xfId="70" applyNumberFormat="1" applyFont="1" applyFill="1" applyBorder="1" applyAlignment="1">
      <alignment horizontal="right" vertical="center"/>
    </xf>
    <xf numFmtId="173" fontId="8" fillId="36" borderId="50" xfId="70" applyNumberFormat="1" applyFont="1" applyFill="1" applyBorder="1" applyAlignment="1" applyProtection="1">
      <alignment vertical="center"/>
      <protection locked="0"/>
    </xf>
    <xf numFmtId="173" fontId="8" fillId="36" borderId="46" xfId="70" applyNumberFormat="1" applyFont="1" applyFill="1" applyBorder="1" applyAlignment="1" applyProtection="1">
      <alignment vertical="center"/>
      <protection locked="0"/>
    </xf>
    <xf numFmtId="173" fontId="8" fillId="36" borderId="45" xfId="70" applyNumberFormat="1" applyFont="1" applyFill="1" applyBorder="1" applyAlignment="1" applyProtection="1">
      <alignment vertical="center"/>
      <protection locked="0"/>
    </xf>
    <xf numFmtId="173" fontId="8" fillId="36" borderId="54" xfId="70" applyNumberFormat="1" applyFont="1" applyFill="1" applyBorder="1" applyAlignment="1" applyProtection="1">
      <alignment vertical="center"/>
      <protection locked="0"/>
    </xf>
    <xf numFmtId="173" fontId="8" fillId="36" borderId="12" xfId="70" applyNumberFormat="1" applyFont="1" applyFill="1" applyBorder="1" applyAlignment="1" applyProtection="1">
      <alignment vertical="center"/>
      <protection/>
    </xf>
    <xf numFmtId="175" fontId="0" fillId="36" borderId="59" xfId="70" applyNumberFormat="1" applyFont="1" applyFill="1" applyBorder="1" applyAlignment="1" applyProtection="1">
      <alignment horizontal="center" vertical="center"/>
      <protection/>
    </xf>
    <xf numFmtId="173" fontId="8" fillId="36" borderId="27" xfId="70" applyNumberFormat="1" applyFont="1" applyFill="1" applyBorder="1" applyAlignment="1" applyProtection="1">
      <alignment vertical="center"/>
      <protection/>
    </xf>
    <xf numFmtId="173" fontId="0" fillId="36" borderId="15" xfId="70" applyNumberFormat="1" applyFont="1" applyFill="1" applyBorder="1" applyAlignment="1" applyProtection="1">
      <alignment vertical="center"/>
      <protection/>
    </xf>
    <xf numFmtId="173" fontId="8" fillId="36" borderId="18" xfId="70" applyNumberFormat="1" applyFont="1" applyFill="1" applyBorder="1" applyAlignment="1">
      <alignment horizontal="right" vertical="center"/>
    </xf>
    <xf numFmtId="173" fontId="8" fillId="36" borderId="18" xfId="70" applyNumberFormat="1" applyFont="1" applyFill="1" applyBorder="1" applyAlignment="1" applyProtection="1">
      <alignment horizontal="center" vertical="center"/>
      <protection/>
    </xf>
    <xf numFmtId="173" fontId="0" fillId="36" borderId="60" xfId="70" applyNumberFormat="1" applyFont="1" applyFill="1" applyBorder="1" applyAlignment="1" applyProtection="1">
      <alignment vertical="center"/>
      <protection locked="0"/>
    </xf>
    <xf numFmtId="173" fontId="0" fillId="36" borderId="13" xfId="70" applyNumberFormat="1" applyFont="1" applyFill="1" applyBorder="1" applyAlignment="1" applyProtection="1">
      <alignment vertical="center"/>
      <protection locked="0"/>
    </xf>
    <xf numFmtId="173" fontId="0" fillId="36" borderId="22" xfId="70" applyNumberFormat="1" applyFont="1" applyFill="1" applyBorder="1" applyAlignment="1" applyProtection="1">
      <alignment vertical="center"/>
      <protection locked="0"/>
    </xf>
    <xf numFmtId="173" fontId="8" fillId="36" borderId="31" xfId="70" applyNumberFormat="1" applyFont="1" applyFill="1" applyBorder="1" applyAlignment="1" applyProtection="1">
      <alignment vertical="center"/>
      <protection locked="0"/>
    </xf>
    <xf numFmtId="178" fontId="0" fillId="36" borderId="60" xfId="70" applyNumberFormat="1" applyFont="1" applyFill="1" applyBorder="1" applyAlignment="1">
      <alignment vertical="center"/>
    </xf>
    <xf numFmtId="173" fontId="0" fillId="36" borderId="44" xfId="70" applyNumberFormat="1" applyFont="1" applyFill="1" applyBorder="1" applyAlignment="1">
      <alignment horizontal="right" vertical="center"/>
    </xf>
    <xf numFmtId="173" fontId="0" fillId="36" borderId="13" xfId="70" applyNumberFormat="1" applyFont="1" applyFill="1" applyBorder="1" applyAlignment="1" applyProtection="1">
      <alignment vertical="center"/>
      <protection/>
    </xf>
    <xf numFmtId="173" fontId="0" fillId="36" borderId="22" xfId="70" applyNumberFormat="1" applyFont="1" applyFill="1" applyBorder="1" applyAlignment="1">
      <alignment horizontal="right" vertical="center"/>
    </xf>
    <xf numFmtId="173" fontId="0" fillId="36" borderId="60" xfId="70" applyNumberFormat="1" applyFont="1" applyFill="1" applyBorder="1" applyAlignment="1" applyProtection="1">
      <alignment horizontal="center" vertical="center"/>
      <protection/>
    </xf>
    <xf numFmtId="173" fontId="0" fillId="36" borderId="22" xfId="70" applyNumberFormat="1" applyFont="1" applyFill="1" applyBorder="1" applyAlignment="1" applyProtection="1">
      <alignment horizontal="center" vertical="center"/>
      <protection/>
    </xf>
    <xf numFmtId="173" fontId="0" fillId="36" borderId="13" xfId="70" applyNumberFormat="1" applyFont="1" applyFill="1" applyBorder="1" applyAlignment="1">
      <alignment horizontal="right" vertical="center"/>
    </xf>
    <xf numFmtId="173" fontId="0" fillId="36" borderId="45" xfId="70" applyNumberFormat="1" applyFont="1" applyFill="1" applyBorder="1" applyAlignment="1" applyProtection="1">
      <alignment vertical="center"/>
      <protection locked="0"/>
    </xf>
    <xf numFmtId="173" fontId="0" fillId="36" borderId="23" xfId="70" applyNumberFormat="1" applyFont="1" applyFill="1" applyBorder="1" applyAlignment="1" applyProtection="1">
      <alignment vertical="center"/>
      <protection locked="0"/>
    </xf>
    <xf numFmtId="175" fontId="0" fillId="36" borderId="49" xfId="70" applyNumberFormat="1" applyFont="1" applyFill="1" applyBorder="1" applyAlignment="1" applyProtection="1">
      <alignment horizontal="center" vertical="center"/>
      <protection/>
    </xf>
    <xf numFmtId="175" fontId="0" fillId="36" borderId="19" xfId="70" applyNumberFormat="1" applyFont="1" applyFill="1" applyBorder="1" applyAlignment="1" applyProtection="1">
      <alignment horizontal="center" vertical="center"/>
      <protection/>
    </xf>
    <xf numFmtId="173" fontId="0" fillId="36" borderId="45" xfId="70" applyNumberFormat="1" applyFont="1" applyFill="1" applyBorder="1" applyAlignment="1" applyProtection="1">
      <alignment vertical="center"/>
      <protection locked="0"/>
    </xf>
    <xf numFmtId="173" fontId="0" fillId="36" borderId="18" xfId="70" applyNumberFormat="1" applyFont="1" applyFill="1" applyBorder="1" applyAlignment="1" applyProtection="1">
      <alignment vertical="center"/>
      <protection locked="0"/>
    </xf>
    <xf numFmtId="173" fontId="0" fillId="36" borderId="18" xfId="70" applyNumberFormat="1" applyFont="1" applyFill="1" applyBorder="1" applyAlignment="1" applyProtection="1">
      <alignment vertical="center"/>
      <protection/>
    </xf>
    <xf numFmtId="173" fontId="0" fillId="36" borderId="19" xfId="70" applyNumberFormat="1" applyFont="1" applyFill="1" applyBorder="1" applyAlignment="1" applyProtection="1">
      <alignment vertical="center"/>
      <protection/>
    </xf>
    <xf numFmtId="175" fontId="0" fillId="36" borderId="0" xfId="70" applyNumberFormat="1" applyFont="1" applyFill="1" applyBorder="1" applyAlignment="1" applyProtection="1">
      <alignment horizontal="center" vertical="center"/>
      <protection/>
    </xf>
    <xf numFmtId="173" fontId="0" fillId="36" borderId="15" xfId="70" applyNumberFormat="1" applyFont="1" applyFill="1" applyBorder="1" applyAlignment="1" applyProtection="1">
      <alignment vertical="center"/>
      <protection locked="0"/>
    </xf>
    <xf numFmtId="173" fontId="0" fillId="36" borderId="22" xfId="70" applyNumberFormat="1" applyFont="1" applyFill="1" applyBorder="1" applyAlignment="1" applyProtection="1">
      <alignment vertical="center"/>
      <protection locked="0"/>
    </xf>
    <xf numFmtId="178" fontId="0" fillId="36" borderId="15" xfId="70" applyNumberFormat="1" applyFont="1" applyFill="1" applyBorder="1" applyAlignment="1">
      <alignment vertical="center"/>
    </xf>
    <xf numFmtId="173" fontId="0" fillId="36" borderId="22" xfId="70" applyNumberFormat="1" applyFont="1" applyFill="1" applyBorder="1" applyAlignment="1" applyProtection="1">
      <alignment vertical="center"/>
      <protection/>
    </xf>
    <xf numFmtId="173" fontId="0" fillId="36" borderId="22" xfId="70" applyNumberFormat="1" applyFont="1" applyFill="1" applyBorder="1" applyAlignment="1" applyProtection="1">
      <alignment vertical="center"/>
      <protection/>
    </xf>
    <xf numFmtId="167" fontId="13" fillId="36" borderId="0" xfId="70" applyNumberFormat="1" applyFont="1" applyFill="1" applyBorder="1" applyAlignment="1" applyProtection="1">
      <alignment horizontal="left" vertical="center"/>
      <protection/>
    </xf>
    <xf numFmtId="167" fontId="13" fillId="36" borderId="0" xfId="70" applyNumberFormat="1" applyFont="1" applyFill="1" applyBorder="1" applyAlignment="1" applyProtection="1">
      <alignment horizontal="left" vertical="center" wrapText="1"/>
      <protection/>
    </xf>
    <xf numFmtId="0" fontId="30" fillId="36" borderId="0" xfId="51" applyFont="1" applyFill="1" applyBorder="1" applyAlignment="1">
      <alignment horizontal="left" vertical="center" wrapText="1"/>
      <protection/>
    </xf>
    <xf numFmtId="167" fontId="13" fillId="36" borderId="19" xfId="70" applyNumberFormat="1" applyFont="1" applyFill="1" applyBorder="1" applyAlignment="1" applyProtection="1">
      <alignment horizontal="left" vertical="center"/>
      <protection/>
    </xf>
    <xf numFmtId="175" fontId="0" fillId="36" borderId="19" xfId="70" applyNumberFormat="1" applyFont="1" applyFill="1" applyBorder="1" applyAlignment="1" applyProtection="1">
      <alignment horizontal="center" vertical="center"/>
      <protection/>
    </xf>
    <xf numFmtId="178" fontId="0" fillId="36" borderId="20" xfId="70" applyNumberFormat="1" applyFont="1" applyFill="1" applyBorder="1" applyAlignment="1">
      <alignment vertical="center"/>
    </xf>
    <xf numFmtId="173" fontId="0" fillId="36" borderId="44" xfId="70" applyNumberFormat="1" applyFont="1" applyFill="1" applyBorder="1" applyAlignment="1" applyProtection="1">
      <alignment vertical="center"/>
      <protection locked="0"/>
    </xf>
    <xf numFmtId="175" fontId="0" fillId="36" borderId="17" xfId="70" applyNumberFormat="1" applyFont="1" applyFill="1" applyBorder="1" applyAlignment="1" applyProtection="1">
      <alignment horizontal="center" vertical="center"/>
      <protection/>
    </xf>
    <xf numFmtId="173" fontId="0" fillId="36" borderId="20" xfId="70" applyNumberFormat="1" applyFont="1" applyFill="1" applyBorder="1" applyAlignment="1">
      <alignment horizontal="right" vertical="center"/>
    </xf>
    <xf numFmtId="173" fontId="0" fillId="36" borderId="44" xfId="70" applyNumberFormat="1" applyFont="1" applyFill="1" applyBorder="1" applyAlignment="1" applyProtection="1">
      <alignment vertical="center"/>
      <protection/>
    </xf>
    <xf numFmtId="0" fontId="29" fillId="36" borderId="24" xfId="51" applyFont="1" applyFill="1" applyBorder="1" applyAlignment="1">
      <alignment horizontal="left" vertical="center" wrapText="1"/>
      <protection/>
    </xf>
    <xf numFmtId="173" fontId="0" fillId="36" borderId="60" xfId="70" applyNumberFormat="1" applyFont="1" applyFill="1" applyBorder="1" applyAlignment="1" applyProtection="1">
      <alignment vertical="center"/>
      <protection locked="0"/>
    </xf>
    <xf numFmtId="173" fontId="0" fillId="36" borderId="13" xfId="70" applyNumberFormat="1" applyFont="1" applyFill="1" applyBorder="1" applyAlignment="1" applyProtection="1">
      <alignment vertical="center"/>
      <protection locked="0"/>
    </xf>
    <xf numFmtId="173" fontId="8" fillId="36" borderId="23" xfId="70" applyNumberFormat="1" applyFont="1" applyFill="1" applyBorder="1" applyAlignment="1" applyProtection="1">
      <alignment vertical="center"/>
      <protection/>
    </xf>
    <xf numFmtId="173" fontId="0" fillId="36" borderId="23" xfId="70" applyNumberFormat="1" applyFont="1" applyFill="1" applyBorder="1" applyAlignment="1" applyProtection="1">
      <alignment vertical="center"/>
      <protection locked="0"/>
    </xf>
    <xf numFmtId="175" fontId="8" fillId="36" borderId="19" xfId="70" applyNumberFormat="1" applyFont="1" applyFill="1" applyBorder="1" applyAlignment="1" applyProtection="1">
      <alignment horizontal="center" vertical="center"/>
      <protection/>
    </xf>
    <xf numFmtId="175" fontId="8" fillId="36" borderId="24" xfId="70" applyNumberFormat="1" applyFont="1" applyFill="1" applyBorder="1" applyAlignment="1" applyProtection="1">
      <alignment horizontal="center" vertical="center"/>
      <protection/>
    </xf>
    <xf numFmtId="178" fontId="8" fillId="36" borderId="23" xfId="70" applyNumberFormat="1" applyFont="1" applyFill="1" applyBorder="1" applyAlignment="1">
      <alignment vertical="center"/>
    </xf>
    <xf numFmtId="173" fontId="0" fillId="36" borderId="60" xfId="70" applyNumberFormat="1" applyFont="1" applyFill="1" applyBorder="1" applyAlignment="1" applyProtection="1">
      <alignment vertical="center"/>
      <protection/>
    </xf>
    <xf numFmtId="175" fontId="8" fillId="36" borderId="49" xfId="70" applyNumberFormat="1" applyFont="1" applyFill="1" applyBorder="1" applyAlignment="1" applyProtection="1">
      <alignment horizontal="center" vertical="center"/>
      <protection/>
    </xf>
    <xf numFmtId="175" fontId="8" fillId="36" borderId="61" xfId="70" applyNumberFormat="1" applyFont="1" applyFill="1" applyBorder="1" applyAlignment="1" applyProtection="1">
      <alignment horizontal="center" vertical="center"/>
      <protection/>
    </xf>
    <xf numFmtId="173" fontId="0" fillId="36" borderId="60" xfId="70" applyNumberFormat="1" applyFont="1" applyFill="1" applyBorder="1" applyAlignment="1" applyProtection="1">
      <alignment vertical="center"/>
      <protection/>
    </xf>
    <xf numFmtId="173" fontId="0" fillId="36" borderId="45" xfId="70" applyNumberFormat="1" applyFont="1" applyFill="1" applyBorder="1" applyAlignment="1" applyProtection="1">
      <alignment vertical="center"/>
      <protection/>
    </xf>
    <xf numFmtId="173" fontId="0" fillId="36" borderId="13" xfId="70" applyNumberFormat="1" applyFont="1" applyFill="1" applyBorder="1" applyAlignment="1" applyProtection="1">
      <alignment vertical="center"/>
      <protection/>
    </xf>
    <xf numFmtId="173" fontId="0" fillId="36" borderId="23" xfId="70" applyNumberFormat="1" applyFont="1" applyFill="1" applyBorder="1" applyAlignment="1" applyProtection="1">
      <alignment vertical="center"/>
      <protection/>
    </xf>
    <xf numFmtId="167" fontId="13" fillId="36" borderId="37" xfId="70" applyNumberFormat="1" applyFont="1" applyFill="1" applyBorder="1" applyAlignment="1" applyProtection="1">
      <alignment horizontal="left" vertical="center"/>
      <protection/>
    </xf>
    <xf numFmtId="167" fontId="13" fillId="36" borderId="11" xfId="70" applyNumberFormat="1" applyFont="1" applyFill="1" applyBorder="1" applyAlignment="1" applyProtection="1">
      <alignment horizontal="left" vertical="center"/>
      <protection/>
    </xf>
    <xf numFmtId="0" fontId="0" fillId="36" borderId="0" xfId="0" applyFont="1" applyFill="1" applyBorder="1" applyAlignment="1">
      <alignment vertical="center"/>
    </xf>
    <xf numFmtId="0" fontId="0" fillId="36" borderId="24" xfId="0" applyFont="1" applyFill="1" applyBorder="1" applyAlignment="1">
      <alignment vertical="center"/>
    </xf>
    <xf numFmtId="167" fontId="13" fillId="36" borderId="17" xfId="70" applyNumberFormat="1" applyFont="1" applyFill="1" applyBorder="1" applyAlignment="1" applyProtection="1">
      <alignment horizontal="left" vertical="center"/>
      <protection/>
    </xf>
    <xf numFmtId="0" fontId="30" fillId="36" borderId="17" xfId="51" applyFont="1" applyFill="1" applyBorder="1" applyAlignment="1">
      <alignment horizontal="left" vertical="center" wrapText="1"/>
      <protection/>
    </xf>
    <xf numFmtId="0" fontId="0" fillId="0" borderId="24" xfId="0" applyFont="1" applyBorder="1" applyAlignment="1">
      <alignment vertical="center"/>
    </xf>
    <xf numFmtId="175" fontId="0" fillId="0" borderId="16" xfId="70" applyNumberFormat="1" applyFont="1" applyFill="1" applyBorder="1" applyAlignment="1" applyProtection="1">
      <alignment horizontal="center" vertical="center"/>
      <protection/>
    </xf>
    <xf numFmtId="173" fontId="8" fillId="0" borderId="45" xfId="70" applyNumberFormat="1" applyFont="1" applyFill="1" applyBorder="1" applyAlignment="1" applyProtection="1">
      <alignment horizontal="center" vertical="center"/>
      <protection/>
    </xf>
    <xf numFmtId="173" fontId="0" fillId="0" borderId="45" xfId="70" applyNumberFormat="1" applyFont="1" applyFill="1" applyBorder="1" applyAlignment="1" applyProtection="1">
      <alignment vertical="center"/>
      <protection locked="0"/>
    </xf>
    <xf numFmtId="178" fontId="0" fillId="0" borderId="60" xfId="70" applyNumberFormat="1" applyFont="1" applyFill="1" applyBorder="1" applyAlignment="1">
      <alignment vertical="center"/>
    </xf>
    <xf numFmtId="173" fontId="0" fillId="0" borderId="15" xfId="70" applyNumberFormat="1" applyFont="1" applyFill="1" applyBorder="1" applyAlignment="1" applyProtection="1">
      <alignment vertical="center"/>
      <protection locked="0"/>
    </xf>
    <xf numFmtId="175" fontId="0" fillId="0" borderId="62" xfId="70" applyNumberFormat="1" applyFont="1" applyFill="1" applyBorder="1" applyAlignment="1" applyProtection="1">
      <alignment horizontal="center" vertical="center"/>
      <protection/>
    </xf>
    <xf numFmtId="173" fontId="0" fillId="0" borderId="22" xfId="70" applyNumberFormat="1" applyFont="1" applyBorder="1" applyAlignment="1">
      <alignment horizontal="right" vertical="center"/>
    </xf>
    <xf numFmtId="0" fontId="30" fillId="0" borderId="0" xfId="51" applyFont="1" applyBorder="1" applyAlignment="1">
      <alignment horizontal="left" vertical="center" wrapText="1"/>
      <protection/>
    </xf>
    <xf numFmtId="175" fontId="0" fillId="0" borderId="0" xfId="70" applyNumberFormat="1" applyFont="1" applyFill="1" applyBorder="1" applyAlignment="1" applyProtection="1">
      <alignment horizontal="center" vertical="center"/>
      <protection/>
    </xf>
    <xf numFmtId="175" fontId="0" fillId="0" borderId="0" xfId="70" applyNumberFormat="1" applyFont="1" applyFill="1" applyBorder="1" applyAlignment="1" applyProtection="1">
      <alignment horizontal="center" vertical="center"/>
      <protection/>
    </xf>
    <xf numFmtId="0" fontId="0" fillId="0" borderId="0" xfId="0" applyFont="1" applyBorder="1" applyAlignment="1">
      <alignment vertical="center"/>
    </xf>
    <xf numFmtId="173" fontId="0" fillId="0" borderId="60" xfId="70" applyNumberFormat="1" applyFont="1" applyFill="1" applyBorder="1" applyAlignment="1" applyProtection="1">
      <alignment vertical="center"/>
      <protection/>
    </xf>
    <xf numFmtId="178" fontId="8" fillId="0" borderId="45" xfId="70" applyNumberFormat="1" applyFont="1" applyFill="1" applyBorder="1" applyAlignment="1">
      <alignment vertical="center"/>
    </xf>
    <xf numFmtId="173" fontId="8" fillId="0" borderId="18" xfId="70" applyNumberFormat="1" applyFont="1" applyFill="1" applyBorder="1" applyAlignment="1" applyProtection="1">
      <alignment horizontal="center" vertical="center"/>
      <protection/>
    </xf>
    <xf numFmtId="167" fontId="13" fillId="0" borderId="0" xfId="70" applyNumberFormat="1" applyFont="1" applyFill="1" applyBorder="1" applyAlignment="1" applyProtection="1">
      <alignment horizontal="left" vertical="center"/>
      <protection/>
    </xf>
    <xf numFmtId="173" fontId="0" fillId="0" borderId="15" xfId="70" applyNumberFormat="1" applyFont="1" applyFill="1" applyBorder="1" applyAlignment="1" applyProtection="1">
      <alignment vertical="center"/>
      <protection/>
    </xf>
    <xf numFmtId="167" fontId="13" fillId="0" borderId="0" xfId="70" applyNumberFormat="1" applyFont="1" applyFill="1" applyBorder="1" applyAlignment="1" applyProtection="1">
      <alignment horizontal="left" vertical="center" wrapText="1"/>
      <protection/>
    </xf>
    <xf numFmtId="173" fontId="8" fillId="0" borderId="60" xfId="70" applyNumberFormat="1" applyFont="1" applyFill="1" applyBorder="1" applyAlignment="1" applyProtection="1">
      <alignment vertical="center"/>
      <protection/>
    </xf>
    <xf numFmtId="167" fontId="13" fillId="0" borderId="37" xfId="70" applyNumberFormat="1" applyFont="1" applyFill="1" applyBorder="1" applyAlignment="1" applyProtection="1">
      <alignment horizontal="left" vertical="center"/>
      <protection/>
    </xf>
    <xf numFmtId="167" fontId="13" fillId="0" borderId="24" xfId="70" applyNumberFormat="1" applyFont="1" applyFill="1" applyBorder="1" applyAlignment="1" applyProtection="1">
      <alignment horizontal="left" vertical="center"/>
      <protection/>
    </xf>
    <xf numFmtId="173" fontId="8" fillId="0" borderId="27" xfId="70" applyNumberFormat="1" applyFont="1" applyBorder="1" applyAlignment="1" quotePrefix="1">
      <alignment horizontal="right" vertical="center"/>
    </xf>
    <xf numFmtId="173" fontId="8" fillId="0" borderId="12" xfId="70" applyNumberFormat="1" applyFont="1" applyBorder="1" applyAlignment="1">
      <alignment horizontal="right" vertical="center"/>
    </xf>
    <xf numFmtId="175" fontId="0" fillId="0" borderId="59" xfId="70" applyNumberFormat="1" applyFont="1" applyFill="1" applyBorder="1" applyAlignment="1" applyProtection="1">
      <alignment horizontal="center" vertical="center"/>
      <protection/>
    </xf>
    <xf numFmtId="175" fontId="0" fillId="0" borderId="59" xfId="70" applyNumberFormat="1" applyFont="1" applyFill="1" applyBorder="1" applyAlignment="1" applyProtection="1">
      <alignment horizontal="center" vertical="center"/>
      <protection/>
    </xf>
    <xf numFmtId="173" fontId="8" fillId="0" borderId="34" xfId="70" applyNumberFormat="1" applyFont="1" applyFill="1" applyBorder="1" applyAlignment="1" applyProtection="1">
      <alignment horizontal="center" vertical="center"/>
      <protection/>
    </xf>
    <xf numFmtId="173" fontId="0" fillId="0" borderId="44" xfId="70" applyNumberFormat="1" applyFont="1" applyFill="1" applyBorder="1" applyAlignment="1" applyProtection="1">
      <alignment vertical="center"/>
      <protection locked="0"/>
    </xf>
    <xf numFmtId="175" fontId="0" fillId="0" borderId="49" xfId="70" applyNumberFormat="1" applyFont="1" applyFill="1" applyBorder="1" applyAlignment="1" applyProtection="1">
      <alignment horizontal="center" vertical="center"/>
      <protection/>
    </xf>
    <xf numFmtId="175" fontId="8" fillId="0" borderId="61" xfId="70" applyNumberFormat="1" applyFont="1" applyFill="1" applyBorder="1" applyAlignment="1" applyProtection="1">
      <alignment horizontal="center" vertical="center"/>
      <protection/>
    </xf>
    <xf numFmtId="175" fontId="8" fillId="0" borderId="49" xfId="70" applyNumberFormat="1" applyFont="1" applyFill="1" applyBorder="1" applyAlignment="1" applyProtection="1">
      <alignment horizontal="center" vertical="center"/>
      <protection/>
    </xf>
    <xf numFmtId="175" fontId="0" fillId="0" borderId="49" xfId="70" applyNumberFormat="1" applyFont="1" applyFill="1" applyBorder="1" applyAlignment="1" applyProtection="1">
      <alignment horizontal="center" vertical="center"/>
      <protection/>
    </xf>
    <xf numFmtId="173" fontId="0" fillId="0" borderId="13" xfId="70" applyNumberFormat="1" applyFont="1" applyFill="1" applyBorder="1" applyAlignment="1" applyProtection="1">
      <alignment vertical="center"/>
      <protection locked="0"/>
    </xf>
    <xf numFmtId="173" fontId="0" fillId="0" borderId="22" xfId="70" applyNumberFormat="1" applyFont="1" applyFill="1" applyBorder="1" applyAlignment="1" applyProtection="1">
      <alignment vertical="center"/>
      <protection locked="0"/>
    </xf>
    <xf numFmtId="173" fontId="0" fillId="0" borderId="23" xfId="70" applyNumberFormat="1" applyFont="1" applyFill="1" applyBorder="1" applyAlignment="1" applyProtection="1">
      <alignment vertical="center"/>
      <protection locked="0"/>
    </xf>
    <xf numFmtId="173" fontId="8" fillId="0" borderId="31" xfId="70" applyNumberFormat="1" applyFont="1" applyFill="1" applyBorder="1" applyAlignment="1" applyProtection="1">
      <alignment vertical="center"/>
      <protection locked="0"/>
    </xf>
    <xf numFmtId="173" fontId="0" fillId="0" borderId="44" xfId="70" applyNumberFormat="1" applyFont="1" applyBorder="1" applyAlignment="1">
      <alignment horizontal="right" vertical="center"/>
    </xf>
    <xf numFmtId="175" fontId="8" fillId="0" borderId="24" xfId="70" applyNumberFormat="1" applyFont="1" applyFill="1" applyBorder="1" applyAlignment="1" applyProtection="1">
      <alignment horizontal="center" vertical="center"/>
      <protection/>
    </xf>
    <xf numFmtId="175" fontId="0" fillId="0" borderId="21" xfId="70" applyNumberFormat="1" applyFont="1" applyFill="1" applyBorder="1" applyAlignment="1" applyProtection="1">
      <alignment horizontal="center" vertical="center"/>
      <protection/>
    </xf>
    <xf numFmtId="175" fontId="0" fillId="0" borderId="19" xfId="70" applyNumberFormat="1" applyFont="1" applyFill="1" applyBorder="1" applyAlignment="1" applyProtection="1">
      <alignment horizontal="center" vertical="center"/>
      <protection/>
    </xf>
    <xf numFmtId="175" fontId="8" fillId="0" borderId="19" xfId="70" applyNumberFormat="1" applyFont="1" applyFill="1" applyBorder="1" applyAlignment="1" applyProtection="1">
      <alignment horizontal="center" vertical="center"/>
      <protection/>
    </xf>
    <xf numFmtId="173" fontId="0" fillId="0" borderId="13" xfId="70" applyNumberFormat="1" applyFont="1" applyFill="1" applyBorder="1" applyAlignment="1" applyProtection="1">
      <alignment vertical="center"/>
      <protection/>
    </xf>
    <xf numFmtId="173" fontId="0" fillId="0" borderId="22" xfId="70" applyNumberFormat="1" applyFont="1" applyFill="1" applyBorder="1" applyAlignment="1" applyProtection="1">
      <alignment vertical="center"/>
      <protection/>
    </xf>
    <xf numFmtId="178" fontId="8" fillId="0" borderId="10" xfId="70" applyNumberFormat="1" applyFont="1" applyFill="1" applyBorder="1" applyAlignment="1">
      <alignment vertical="center"/>
    </xf>
    <xf numFmtId="173" fontId="0" fillId="0" borderId="22" xfId="70" applyNumberFormat="1" applyFont="1" applyBorder="1" applyAlignment="1">
      <alignment horizontal="right" vertical="center"/>
    </xf>
    <xf numFmtId="178" fontId="8" fillId="0" borderId="23" xfId="70" applyNumberFormat="1" applyFont="1" applyFill="1" applyBorder="1" applyAlignment="1">
      <alignment vertical="center"/>
    </xf>
    <xf numFmtId="173" fontId="0" fillId="0" borderId="44" xfId="70" applyNumberFormat="1" applyFont="1" applyFill="1" applyBorder="1" applyAlignment="1" applyProtection="1">
      <alignment horizontal="center" vertical="center"/>
      <protection/>
    </xf>
    <xf numFmtId="173" fontId="0" fillId="0" borderId="13" xfId="70" applyNumberFormat="1" applyFont="1" applyFill="1" applyBorder="1" applyAlignment="1" applyProtection="1">
      <alignment vertical="center"/>
      <protection locked="0"/>
    </xf>
    <xf numFmtId="173" fontId="0" fillId="0" borderId="22" xfId="70" applyNumberFormat="1" applyFont="1" applyFill="1" applyBorder="1" applyAlignment="1" applyProtection="1">
      <alignment horizontal="center" vertical="center"/>
      <protection/>
    </xf>
    <xf numFmtId="173" fontId="0" fillId="0" borderId="60" xfId="70" applyNumberFormat="1" applyFont="1" applyFill="1" applyBorder="1" applyAlignment="1" applyProtection="1">
      <alignment vertical="center"/>
      <protection/>
    </xf>
    <xf numFmtId="173" fontId="0" fillId="0" borderId="45" xfId="70" applyNumberFormat="1" applyFont="1" applyFill="1" applyBorder="1" applyAlignment="1" applyProtection="1">
      <alignment vertical="center"/>
      <protection/>
    </xf>
    <xf numFmtId="173" fontId="0" fillId="0" borderId="45" xfId="70" applyNumberFormat="1" applyFont="1" applyFill="1" applyBorder="1" applyAlignment="1" applyProtection="1">
      <alignment horizontal="center" vertical="center"/>
      <protection/>
    </xf>
    <xf numFmtId="175" fontId="0" fillId="0" borderId="19" xfId="70" applyNumberFormat="1" applyFont="1" applyFill="1" applyBorder="1" applyAlignment="1" applyProtection="1">
      <alignment horizontal="center" vertical="center"/>
      <protection/>
    </xf>
    <xf numFmtId="173" fontId="0" fillId="0" borderId="13" xfId="70" applyNumberFormat="1" applyFont="1" applyBorder="1" applyAlignment="1">
      <alignment horizontal="right" vertical="center"/>
    </xf>
    <xf numFmtId="167" fontId="8" fillId="0" borderId="18" xfId="70" applyNumberFormat="1" applyFont="1" applyFill="1" applyBorder="1" applyAlignment="1" applyProtection="1">
      <alignment horizontal="center" vertical="center"/>
      <protection/>
    </xf>
    <xf numFmtId="167" fontId="8" fillId="0" borderId="12" xfId="70" applyNumberFormat="1" applyFont="1" applyFill="1" applyBorder="1" applyAlignment="1" applyProtection="1">
      <alignment horizontal="center" vertical="center"/>
      <protection/>
    </xf>
    <xf numFmtId="0" fontId="29" fillId="0" borderId="11" xfId="51" applyFont="1" applyBorder="1" applyAlignment="1">
      <alignment horizontal="left" vertical="center" wrapText="1"/>
      <protection/>
    </xf>
    <xf numFmtId="0" fontId="0" fillId="0" borderId="11" xfId="0" applyFont="1" applyBorder="1" applyAlignment="1">
      <alignment vertical="center"/>
    </xf>
    <xf numFmtId="167" fontId="13" fillId="0" borderId="17" xfId="70" applyNumberFormat="1" applyFont="1" applyFill="1" applyBorder="1" applyAlignment="1" applyProtection="1">
      <alignment horizontal="left" vertical="center"/>
      <protection/>
    </xf>
    <xf numFmtId="178" fontId="8" fillId="36" borderId="63" xfId="70" applyNumberFormat="1" applyFont="1" applyFill="1" applyBorder="1" applyAlignment="1">
      <alignment vertical="center"/>
    </xf>
    <xf numFmtId="173" fontId="8" fillId="36" borderId="42" xfId="70" applyNumberFormat="1" applyFont="1" applyFill="1" applyBorder="1" applyAlignment="1" applyProtection="1">
      <alignment vertical="center"/>
      <protection/>
    </xf>
    <xf numFmtId="175" fontId="8" fillId="36" borderId="35" xfId="70" applyNumberFormat="1" applyFont="1" applyFill="1" applyBorder="1" applyAlignment="1" applyProtection="1">
      <alignment horizontal="center" vertical="center"/>
      <protection/>
    </xf>
    <xf numFmtId="178" fontId="8" fillId="36" borderId="36" xfId="70" applyNumberFormat="1" applyFont="1" applyFill="1" applyBorder="1" applyAlignment="1">
      <alignment vertical="center"/>
    </xf>
    <xf numFmtId="175" fontId="8" fillId="36" borderId="64" xfId="70" applyNumberFormat="1" applyFont="1" applyFill="1" applyBorder="1" applyAlignment="1" applyProtection="1">
      <alignment horizontal="center" vertical="center"/>
      <protection/>
    </xf>
    <xf numFmtId="178" fontId="0" fillId="0" borderId="63" xfId="70" applyNumberFormat="1" applyFont="1" applyFill="1" applyBorder="1" applyAlignment="1">
      <alignment vertical="center"/>
    </xf>
    <xf numFmtId="173" fontId="0" fillId="0" borderId="34" xfId="70" applyNumberFormat="1" applyFont="1" applyFill="1" applyBorder="1" applyAlignment="1" applyProtection="1">
      <alignment vertical="center"/>
      <protection/>
    </xf>
    <xf numFmtId="175" fontId="0" fillId="0" borderId="42" xfId="70" applyNumberFormat="1" applyFont="1" applyFill="1" applyBorder="1" applyAlignment="1" applyProtection="1">
      <alignment horizontal="center" vertical="center"/>
      <protection/>
    </xf>
    <xf numFmtId="178" fontId="0" fillId="0" borderId="36" xfId="70" applyNumberFormat="1" applyFont="1" applyFill="1" applyBorder="1" applyAlignment="1">
      <alignment vertical="center"/>
    </xf>
    <xf numFmtId="175" fontId="0" fillId="0" borderId="64" xfId="70" applyNumberFormat="1" applyFont="1" applyFill="1" applyBorder="1" applyAlignment="1" applyProtection="1">
      <alignment horizontal="center" vertical="center"/>
      <protection/>
    </xf>
    <xf numFmtId="0" fontId="8" fillId="45" borderId="65" xfId="0" applyFont="1" applyFill="1" applyBorder="1" applyAlignment="1">
      <alignment horizontal="left" vertical="center"/>
    </xf>
    <xf numFmtId="0" fontId="8" fillId="45" borderId="51" xfId="0" applyFont="1" applyFill="1" applyBorder="1" applyAlignment="1">
      <alignment horizontal="left" vertical="center"/>
    </xf>
    <xf numFmtId="173" fontId="8" fillId="45" borderId="50" xfId="70" applyNumberFormat="1" applyFont="1" applyFill="1" applyBorder="1" applyAlignment="1" applyProtection="1">
      <alignment horizontal="center" vertical="center"/>
      <protection/>
    </xf>
    <xf numFmtId="173" fontId="8" fillId="45" borderId="27" xfId="0" applyNumberFormat="1" applyFont="1" applyFill="1" applyBorder="1" applyAlignment="1">
      <alignment vertical="center"/>
    </xf>
    <xf numFmtId="173" fontId="8" fillId="45" borderId="27" xfId="70" applyNumberFormat="1" applyFont="1" applyFill="1" applyBorder="1" applyAlignment="1" applyProtection="1">
      <alignment horizontal="center" vertical="center"/>
      <protection/>
    </xf>
    <xf numFmtId="175" fontId="8" fillId="45" borderId="51" xfId="70" applyNumberFormat="1" applyFont="1" applyFill="1" applyBorder="1" applyAlignment="1" applyProtection="1">
      <alignment horizontal="center" vertical="center"/>
      <protection/>
    </xf>
    <xf numFmtId="175" fontId="8" fillId="45" borderId="52" xfId="70" applyNumberFormat="1" applyFont="1" applyFill="1" applyBorder="1" applyAlignment="1" applyProtection="1">
      <alignment horizontal="center" vertical="center"/>
      <protection/>
    </xf>
    <xf numFmtId="173" fontId="8" fillId="45" borderId="37" xfId="70" applyNumberFormat="1" applyFont="1" applyFill="1" applyBorder="1" applyAlignment="1" applyProtection="1">
      <alignment horizontal="center" vertical="center"/>
      <protection/>
    </xf>
    <xf numFmtId="173" fontId="8" fillId="45" borderId="63" xfId="70" applyNumberFormat="1" applyFont="1" applyFill="1" applyBorder="1" applyAlignment="1" applyProtection="1">
      <alignment horizontal="center" vertical="center"/>
      <protection/>
    </xf>
    <xf numFmtId="167" fontId="18" fillId="0" borderId="25" xfId="70" applyNumberFormat="1" applyFont="1" applyFill="1" applyBorder="1" applyAlignment="1" applyProtection="1">
      <alignment horizontal="left" vertical="center"/>
      <protection/>
    </xf>
    <xf numFmtId="173" fontId="0" fillId="0" borderId="60" xfId="70" applyNumberFormat="1" applyFont="1" applyFill="1" applyBorder="1" applyAlignment="1" applyProtection="1">
      <alignment vertical="center"/>
      <protection locked="0"/>
    </xf>
    <xf numFmtId="173" fontId="0" fillId="0" borderId="45" xfId="70" applyNumberFormat="1" applyFont="1" applyFill="1" applyBorder="1" applyAlignment="1" applyProtection="1">
      <alignment vertical="center"/>
      <protection/>
    </xf>
    <xf numFmtId="175" fontId="8" fillId="0" borderId="66" xfId="70" applyNumberFormat="1" applyFont="1" applyFill="1" applyBorder="1" applyAlignment="1" applyProtection="1">
      <alignment horizontal="center" vertical="center"/>
      <protection/>
    </xf>
    <xf numFmtId="175" fontId="0" fillId="0" borderId="67" xfId="70" applyNumberFormat="1" applyFont="1" applyFill="1" applyBorder="1" applyAlignment="1" applyProtection="1">
      <alignment horizontal="center" vertical="center"/>
      <protection/>
    </xf>
    <xf numFmtId="175" fontId="8" fillId="0" borderId="59" xfId="70" applyNumberFormat="1" applyFont="1" applyFill="1" applyBorder="1" applyAlignment="1" applyProtection="1">
      <alignment horizontal="center" vertical="center"/>
      <protection/>
    </xf>
    <xf numFmtId="175" fontId="8" fillId="0" borderId="68" xfId="70" applyNumberFormat="1" applyFont="1" applyFill="1" applyBorder="1" applyAlignment="1" applyProtection="1">
      <alignment horizontal="center" vertical="center"/>
      <protection/>
    </xf>
    <xf numFmtId="173" fontId="8" fillId="0" borderId="27" xfId="70" applyNumberFormat="1" applyFont="1" applyFill="1" applyBorder="1" applyAlignment="1" applyProtection="1">
      <alignment vertical="center"/>
      <protection/>
    </xf>
    <xf numFmtId="173" fontId="8" fillId="0" borderId="18" xfId="70" applyNumberFormat="1" applyFont="1" applyFill="1" applyBorder="1" applyAlignment="1" applyProtection="1">
      <alignment vertical="center"/>
      <protection/>
    </xf>
    <xf numFmtId="0" fontId="0" fillId="0" borderId="19" xfId="0" applyFont="1" applyBorder="1" applyAlignment="1">
      <alignment vertical="center"/>
    </xf>
    <xf numFmtId="167" fontId="18" fillId="0" borderId="61" xfId="70" applyNumberFormat="1" applyFont="1" applyFill="1" applyBorder="1" applyAlignment="1" applyProtection="1">
      <alignment horizontal="left" vertical="center"/>
      <protection/>
    </xf>
    <xf numFmtId="167" fontId="0" fillId="0" borderId="15" xfId="70" applyNumberFormat="1" applyFont="1" applyFill="1" applyBorder="1" applyAlignment="1" applyProtection="1">
      <alignment horizontal="center" vertical="center"/>
      <protection/>
    </xf>
    <xf numFmtId="167" fontId="0" fillId="0" borderId="18" xfId="70" applyNumberFormat="1" applyFont="1" applyFill="1" applyBorder="1" applyAlignment="1" applyProtection="1">
      <alignment horizontal="center" vertical="center"/>
      <protection/>
    </xf>
    <xf numFmtId="175" fontId="0" fillId="0" borderId="61" xfId="70" applyNumberFormat="1" applyFont="1" applyFill="1" applyBorder="1" applyAlignment="1" applyProtection="1">
      <alignment horizontal="center" vertical="center"/>
      <protection/>
    </xf>
    <xf numFmtId="175" fontId="0" fillId="0" borderId="67" xfId="70" applyNumberFormat="1" applyFont="1" applyFill="1" applyBorder="1" applyAlignment="1" applyProtection="1">
      <alignment horizontal="center" vertical="center"/>
      <protection/>
    </xf>
    <xf numFmtId="178" fontId="0" fillId="0" borderId="10" xfId="70" applyNumberFormat="1" applyFont="1" applyFill="1" applyBorder="1" applyAlignment="1">
      <alignment vertical="center"/>
    </xf>
    <xf numFmtId="178" fontId="0" fillId="0" borderId="23" xfId="70" applyNumberFormat="1" applyFont="1" applyFill="1" applyBorder="1" applyAlignment="1">
      <alignment vertical="center"/>
    </xf>
    <xf numFmtId="173" fontId="0" fillId="0" borderId="23" xfId="70" applyNumberFormat="1" applyFont="1" applyFill="1" applyBorder="1" applyAlignment="1" applyProtection="1">
      <alignment vertical="center"/>
      <protection/>
    </xf>
    <xf numFmtId="178" fontId="0" fillId="0" borderId="13" xfId="70" applyNumberFormat="1" applyFont="1" applyFill="1" applyBorder="1" applyAlignment="1">
      <alignment vertical="center"/>
    </xf>
    <xf numFmtId="173" fontId="0" fillId="0" borderId="10" xfId="70" applyNumberFormat="1" applyFont="1" applyFill="1" applyBorder="1" applyAlignment="1" applyProtection="1">
      <alignment vertical="center"/>
      <protection/>
    </xf>
    <xf numFmtId="173" fontId="0" fillId="0" borderId="10" xfId="70" applyNumberFormat="1" applyFont="1" applyFill="1" applyBorder="1" applyAlignment="1" applyProtection="1">
      <alignment vertical="center"/>
      <protection locked="0"/>
    </xf>
    <xf numFmtId="175" fontId="0" fillId="0" borderId="21" xfId="70" applyNumberFormat="1" applyFont="1" applyFill="1" applyBorder="1" applyAlignment="1" applyProtection="1">
      <alignment horizontal="center" vertical="center"/>
      <protection/>
    </xf>
    <xf numFmtId="175" fontId="8" fillId="0" borderId="0" xfId="70" applyNumberFormat="1" applyFont="1" applyFill="1" applyBorder="1" applyAlignment="1" applyProtection="1">
      <alignment horizontal="center" vertical="center"/>
      <protection/>
    </xf>
    <xf numFmtId="173" fontId="0" fillId="0" borderId="22" xfId="70" applyNumberFormat="1" applyFont="1" applyFill="1" applyBorder="1" applyAlignment="1" applyProtection="1">
      <alignment vertical="center"/>
      <protection/>
    </xf>
    <xf numFmtId="173" fontId="0" fillId="0" borderId="13" xfId="70" applyNumberFormat="1" applyFont="1" applyFill="1" applyBorder="1" applyAlignment="1" applyProtection="1">
      <alignment vertical="center"/>
      <protection/>
    </xf>
    <xf numFmtId="173" fontId="0" fillId="0" borderId="23" xfId="70" applyNumberFormat="1" applyFont="1" applyFill="1" applyBorder="1" applyAlignment="1" applyProtection="1">
      <alignment vertical="center"/>
      <protection/>
    </xf>
    <xf numFmtId="173" fontId="8" fillId="0" borderId="22" xfId="70" applyNumberFormat="1" applyFont="1" applyBorder="1" applyAlignment="1">
      <alignment horizontal="right" vertical="center"/>
    </xf>
    <xf numFmtId="173" fontId="0" fillId="0" borderId="10" xfId="70" applyNumberFormat="1" applyFont="1" applyFill="1" applyBorder="1" applyAlignment="1" applyProtection="1">
      <alignment vertical="center"/>
      <protection/>
    </xf>
    <xf numFmtId="173" fontId="8" fillId="0" borderId="54" xfId="70" applyNumberFormat="1" applyFont="1" applyFill="1" applyBorder="1" applyAlignment="1" applyProtection="1">
      <alignment vertical="center"/>
      <protection locked="0"/>
    </xf>
    <xf numFmtId="173" fontId="0" fillId="0" borderId="10" xfId="70" applyNumberFormat="1" applyFont="1" applyFill="1" applyBorder="1" applyAlignment="1" applyProtection="1">
      <alignment vertical="center"/>
      <protection locked="0"/>
    </xf>
    <xf numFmtId="173" fontId="0" fillId="0" borderId="42" xfId="70" applyNumberFormat="1" applyFont="1" applyFill="1" applyBorder="1" applyAlignment="1" applyProtection="1">
      <alignment vertical="center"/>
      <protection/>
    </xf>
    <xf numFmtId="0" fontId="8" fillId="45" borderId="44" xfId="0" applyFont="1" applyFill="1" applyBorder="1" applyAlignment="1">
      <alignment horizontal="center" vertical="center"/>
    </xf>
    <xf numFmtId="0" fontId="8" fillId="45" borderId="22" xfId="0" applyFont="1" applyFill="1" applyBorder="1" applyAlignment="1">
      <alignment horizontal="center" vertical="center"/>
    </xf>
    <xf numFmtId="0" fontId="8" fillId="45" borderId="62" xfId="0" applyFont="1" applyFill="1" applyBorder="1" applyAlignment="1">
      <alignment horizontal="center" vertical="center"/>
    </xf>
    <xf numFmtId="175" fontId="8" fillId="36" borderId="52" xfId="70" applyNumberFormat="1" applyFont="1" applyFill="1" applyBorder="1" applyAlignment="1" applyProtection="1">
      <alignment vertical="center"/>
      <protection/>
    </xf>
    <xf numFmtId="175" fontId="8" fillId="36" borderId="47" xfId="70" applyNumberFormat="1" applyFont="1" applyFill="1" applyBorder="1" applyAlignment="1" applyProtection="1">
      <alignment vertical="center"/>
      <protection/>
    </xf>
    <xf numFmtId="175" fontId="0" fillId="36" borderId="59" xfId="70" applyNumberFormat="1" applyFont="1" applyFill="1" applyBorder="1" applyAlignment="1" applyProtection="1">
      <alignment vertical="center"/>
      <protection/>
    </xf>
    <xf numFmtId="175" fontId="0" fillId="36" borderId="49" xfId="70" applyNumberFormat="1" applyFont="1" applyFill="1" applyBorder="1" applyAlignment="1" applyProtection="1">
      <alignment vertical="center"/>
      <protection/>
    </xf>
    <xf numFmtId="175" fontId="8" fillId="36" borderId="49" xfId="70" applyNumberFormat="1" applyFont="1" applyFill="1" applyBorder="1" applyAlignment="1" applyProtection="1">
      <alignment vertical="center"/>
      <protection/>
    </xf>
    <xf numFmtId="175" fontId="8" fillId="36" borderId="61" xfId="70" applyNumberFormat="1" applyFont="1" applyFill="1" applyBorder="1" applyAlignment="1" applyProtection="1">
      <alignment vertical="center"/>
      <protection/>
    </xf>
    <xf numFmtId="175" fontId="0" fillId="36" borderId="53" xfId="70" applyNumberFormat="1" applyFont="1" applyFill="1" applyBorder="1" applyAlignment="1" applyProtection="1">
      <alignment vertical="center"/>
      <protection/>
    </xf>
    <xf numFmtId="175" fontId="8" fillId="36" borderId="53" xfId="70" applyNumberFormat="1" applyFont="1" applyFill="1" applyBorder="1" applyAlignment="1" applyProtection="1">
      <alignment vertical="center"/>
      <protection/>
    </xf>
    <xf numFmtId="175" fontId="0" fillId="36" borderId="59" xfId="70" applyNumberFormat="1" applyFont="1" applyFill="1" applyBorder="1" applyAlignment="1" applyProtection="1">
      <alignment vertical="center"/>
      <protection/>
    </xf>
    <xf numFmtId="175" fontId="0" fillId="36" borderId="49" xfId="70" applyNumberFormat="1" applyFont="1" applyFill="1" applyBorder="1" applyAlignment="1" applyProtection="1">
      <alignment vertical="center"/>
      <protection/>
    </xf>
    <xf numFmtId="175" fontId="8" fillId="36" borderId="68" xfId="70" applyNumberFormat="1" applyFont="1" applyFill="1" applyBorder="1" applyAlignment="1" applyProtection="1">
      <alignment vertical="center"/>
      <protection/>
    </xf>
    <xf numFmtId="175" fontId="8" fillId="45" borderId="52" xfId="70" applyNumberFormat="1" applyFont="1" applyFill="1" applyBorder="1" applyAlignment="1" applyProtection="1">
      <alignment vertical="center"/>
      <protection/>
    </xf>
    <xf numFmtId="175" fontId="8" fillId="45" borderId="38" xfId="70" applyNumberFormat="1" applyFont="1" applyFill="1" applyBorder="1" applyAlignment="1" applyProtection="1">
      <alignment vertical="center"/>
      <protection/>
    </xf>
    <xf numFmtId="2" fontId="0" fillId="0" borderId="15" xfId="0" applyNumberFormat="1" applyBorder="1" applyAlignment="1">
      <alignment/>
    </xf>
    <xf numFmtId="168" fontId="0" fillId="16" borderId="23" xfId="70" applyNumberFormat="1" applyFont="1" applyFill="1" applyBorder="1" applyAlignment="1">
      <alignment horizontal="center"/>
    </xf>
    <xf numFmtId="0" fontId="124" fillId="0" borderId="0" xfId="0" applyFont="1" applyAlignment="1">
      <alignment/>
    </xf>
    <xf numFmtId="0" fontId="125" fillId="0" borderId="0" xfId="0" applyFont="1" applyAlignment="1">
      <alignment/>
    </xf>
    <xf numFmtId="172" fontId="23" fillId="34" borderId="10" xfId="56" applyNumberFormat="1" applyFont="1" applyFill="1" applyBorder="1" applyAlignment="1">
      <alignment vertical="center"/>
      <protection/>
    </xf>
    <xf numFmtId="0" fontId="8" fillId="16" borderId="0" xfId="0" applyFont="1" applyFill="1" applyBorder="1" applyAlignment="1">
      <alignment horizontal="center"/>
    </xf>
    <xf numFmtId="1" fontId="18" fillId="16" borderId="0" xfId="0" applyNumberFormat="1" applyFont="1" applyFill="1" applyBorder="1" applyAlignment="1">
      <alignment horizontal="center"/>
    </xf>
    <xf numFmtId="2" fontId="18" fillId="16" borderId="0" xfId="0" applyNumberFormat="1" applyFont="1" applyFill="1" applyBorder="1" applyAlignment="1">
      <alignment horizontal="centerContinuous"/>
    </xf>
    <xf numFmtId="2" fontId="18" fillId="16" borderId="0" xfId="0" applyNumberFormat="1" applyFont="1" applyFill="1" applyBorder="1" applyAlignment="1">
      <alignment horizontal="center"/>
    </xf>
    <xf numFmtId="0" fontId="18" fillId="16" borderId="0" xfId="0" applyFont="1" applyFill="1" applyBorder="1" applyAlignment="1">
      <alignment horizontal="centerContinuous"/>
    </xf>
    <xf numFmtId="0" fontId="0" fillId="16" borderId="0" xfId="0" applyFont="1" applyFill="1" applyBorder="1" applyAlignment="1">
      <alignment horizontal="left"/>
    </xf>
    <xf numFmtId="2" fontId="0" fillId="16" borderId="0" xfId="0" applyNumberFormat="1" applyFont="1" applyFill="1" applyBorder="1" applyAlignment="1">
      <alignment horizontal="center"/>
    </xf>
    <xf numFmtId="164" fontId="0" fillId="16" borderId="0" xfId="70" applyFont="1" applyFill="1" applyBorder="1" applyAlignment="1">
      <alignment/>
    </xf>
    <xf numFmtId="164" fontId="0" fillId="16" borderId="0" xfId="70" applyFont="1" applyFill="1" applyBorder="1" applyAlignment="1">
      <alignment horizontal="center"/>
    </xf>
    <xf numFmtId="164" fontId="0" fillId="16" borderId="0" xfId="70" applyFont="1" applyFill="1" applyBorder="1" applyAlignment="1">
      <alignment/>
    </xf>
    <xf numFmtId="2" fontId="8" fillId="16" borderId="0" xfId="0" applyNumberFormat="1" applyFont="1" applyFill="1" applyBorder="1" applyAlignment="1">
      <alignment horizontal="center"/>
    </xf>
    <xf numFmtId="168" fontId="0" fillId="16" borderId="16" xfId="70" applyNumberFormat="1" applyFont="1" applyFill="1" applyBorder="1" applyAlignment="1">
      <alignment horizontal="right"/>
    </xf>
    <xf numFmtId="0" fontId="117" fillId="10" borderId="27" xfId="0" applyFont="1" applyFill="1" applyBorder="1" applyAlignment="1">
      <alignment vertical="center" wrapText="1"/>
    </xf>
    <xf numFmtId="0" fontId="117" fillId="10" borderId="15" xfId="0" applyFont="1" applyFill="1" applyBorder="1" applyAlignment="1">
      <alignment horizontal="left" vertical="center" wrapText="1"/>
    </xf>
    <xf numFmtId="0" fontId="117" fillId="10" borderId="15" xfId="0" applyFont="1" applyFill="1" applyBorder="1" applyAlignment="1">
      <alignment vertical="center" wrapText="1"/>
    </xf>
    <xf numFmtId="0" fontId="117" fillId="10" borderId="12" xfId="0" applyFont="1" applyFill="1" applyBorder="1" applyAlignment="1">
      <alignment horizontal="left" vertical="center" wrapText="1"/>
    </xf>
    <xf numFmtId="0" fontId="117" fillId="16" borderId="27" xfId="0" applyFont="1" applyFill="1" applyBorder="1" applyAlignment="1">
      <alignment vertical="center" wrapText="1"/>
    </xf>
    <xf numFmtId="0" fontId="117" fillId="10" borderId="18" xfId="0" applyFont="1" applyFill="1" applyBorder="1" applyAlignment="1">
      <alignment horizontal="left" vertical="center" wrapText="1"/>
    </xf>
    <xf numFmtId="0" fontId="0" fillId="0" borderId="30" xfId="0" applyBorder="1" applyAlignment="1">
      <alignment horizontal="left" vertical="center"/>
    </xf>
    <xf numFmtId="0" fontId="0" fillId="0" borderId="15" xfId="0" applyBorder="1" applyAlignment="1">
      <alignment horizontal="left" vertical="center"/>
    </xf>
    <xf numFmtId="0" fontId="126" fillId="13" borderId="30" xfId="0" applyFont="1" applyFill="1" applyBorder="1" applyAlignment="1">
      <alignment horizontal="center" vertical="center" wrapText="1"/>
    </xf>
    <xf numFmtId="0" fontId="126" fillId="13" borderId="31" xfId="0" applyFont="1" applyFill="1" applyBorder="1" applyAlignment="1">
      <alignment horizontal="center" vertical="center" wrapText="1"/>
    </xf>
    <xf numFmtId="0" fontId="126" fillId="13" borderId="10" xfId="0" applyFont="1" applyFill="1" applyBorder="1" applyAlignment="1">
      <alignment horizontal="center" vertical="center" wrapText="1"/>
    </xf>
    <xf numFmtId="164" fontId="126" fillId="13" borderId="31" xfId="70" applyFont="1" applyFill="1" applyBorder="1" applyAlignment="1">
      <alignment horizontal="center" vertical="center" wrapText="1"/>
    </xf>
    <xf numFmtId="0" fontId="126" fillId="13" borderId="34" xfId="0" applyFont="1" applyFill="1" applyBorder="1" applyAlignment="1">
      <alignment horizontal="center" vertical="center" wrapText="1"/>
    </xf>
    <xf numFmtId="164" fontId="126" fillId="13" borderId="25" xfId="70" applyNumberFormat="1" applyFont="1" applyFill="1" applyBorder="1" applyAlignment="1">
      <alignment horizontal="center" vertical="center" wrapText="1"/>
    </xf>
    <xf numFmtId="168" fontId="0" fillId="0" borderId="0" xfId="70" applyNumberFormat="1" applyFont="1" applyAlignment="1">
      <alignment/>
    </xf>
    <xf numFmtId="0" fontId="119" fillId="0" borderId="0" xfId="0" applyFont="1" applyAlignment="1">
      <alignment/>
    </xf>
    <xf numFmtId="0" fontId="0" fillId="0" borderId="39" xfId="0" applyFont="1" applyBorder="1" applyAlignment="1">
      <alignment horizontal="left" vertical="center"/>
    </xf>
    <xf numFmtId="0" fontId="0" fillId="0" borderId="15" xfId="0" applyFont="1" applyBorder="1" applyAlignment="1">
      <alignment horizontal="left" vertical="center"/>
    </xf>
    <xf numFmtId="168" fontId="12" fillId="16" borderId="16" xfId="70" applyNumberFormat="1" applyFont="1" applyFill="1" applyBorder="1" applyAlignment="1">
      <alignment horizontal="center"/>
    </xf>
    <xf numFmtId="168" fontId="12" fillId="16" borderId="0" xfId="70" applyNumberFormat="1" applyFont="1" applyFill="1" applyBorder="1" applyAlignment="1">
      <alignment/>
    </xf>
    <xf numFmtId="168" fontId="12" fillId="16" borderId="15" xfId="70" applyNumberFormat="1" applyFont="1" applyFill="1" applyBorder="1" applyAlignment="1">
      <alignment/>
    </xf>
    <xf numFmtId="168" fontId="12" fillId="16" borderId="17" xfId="70" applyNumberFormat="1" applyFont="1" applyFill="1" applyBorder="1" applyAlignment="1">
      <alignment horizontal="center"/>
    </xf>
    <xf numFmtId="168" fontId="12" fillId="16" borderId="19" xfId="70" applyNumberFormat="1" applyFont="1" applyFill="1" applyBorder="1" applyAlignment="1">
      <alignment/>
    </xf>
    <xf numFmtId="168" fontId="12" fillId="16" borderId="18" xfId="70" applyNumberFormat="1" applyFont="1" applyFill="1" applyBorder="1" applyAlignment="1">
      <alignment/>
    </xf>
    <xf numFmtId="168" fontId="12" fillId="16" borderId="19" xfId="70" applyNumberFormat="1" applyFont="1" applyFill="1" applyBorder="1" applyAlignment="1">
      <alignment horizontal="center"/>
    </xf>
    <xf numFmtId="168" fontId="12" fillId="16" borderId="38" xfId="70" applyNumberFormat="1" applyFont="1" applyFill="1" applyBorder="1" applyAlignment="1">
      <alignment horizontal="center"/>
    </xf>
    <xf numFmtId="168" fontId="12" fillId="16" borderId="25" xfId="70" applyNumberFormat="1" applyFont="1" applyFill="1" applyBorder="1" applyAlignment="1">
      <alignment/>
    </xf>
    <xf numFmtId="168" fontId="12" fillId="16" borderId="42" xfId="70" applyNumberFormat="1" applyFont="1" applyFill="1" applyBorder="1" applyAlignment="1">
      <alignment/>
    </xf>
    <xf numFmtId="168" fontId="12" fillId="16" borderId="30" xfId="70" applyNumberFormat="1" applyFont="1" applyFill="1" applyBorder="1" applyAlignment="1">
      <alignment/>
    </xf>
    <xf numFmtId="168" fontId="12" fillId="16" borderId="25" xfId="70" applyNumberFormat="1" applyFont="1" applyFill="1" applyBorder="1" applyAlignment="1">
      <alignment horizontal="center"/>
    </xf>
    <xf numFmtId="168" fontId="12" fillId="16" borderId="36" xfId="70" applyNumberFormat="1" applyFont="1" applyFill="1" applyBorder="1" applyAlignment="1">
      <alignment/>
    </xf>
    <xf numFmtId="168" fontId="0" fillId="16" borderId="0" xfId="70" applyNumberFormat="1" applyFont="1" applyFill="1" applyBorder="1" applyAlignment="1">
      <alignment/>
    </xf>
    <xf numFmtId="0" fontId="0" fillId="16" borderId="38" xfId="0" applyFont="1" applyFill="1" applyBorder="1" applyAlignment="1">
      <alignment/>
    </xf>
    <xf numFmtId="0" fontId="0" fillId="16" borderId="30" xfId="0" applyFill="1" applyBorder="1" applyAlignment="1">
      <alignment/>
    </xf>
    <xf numFmtId="0" fontId="0" fillId="16" borderId="0" xfId="0" applyFill="1" applyBorder="1" applyAlignment="1">
      <alignment horizontal="center"/>
    </xf>
    <xf numFmtId="168" fontId="12" fillId="16" borderId="0" xfId="70" applyNumberFormat="1" applyFont="1" applyFill="1" applyBorder="1" applyAlignment="1">
      <alignment horizontal="center"/>
    </xf>
    <xf numFmtId="0" fontId="13" fillId="16" borderId="16" xfId="0" applyFont="1" applyFill="1" applyBorder="1" applyAlignment="1">
      <alignment/>
    </xf>
    <xf numFmtId="0" fontId="9" fillId="2" borderId="19" xfId="0" applyFont="1" applyFill="1" applyBorder="1" applyAlignment="1">
      <alignment/>
    </xf>
    <xf numFmtId="0" fontId="0" fillId="2" borderId="15" xfId="0" applyFill="1" applyBorder="1" applyAlignment="1">
      <alignment/>
    </xf>
    <xf numFmtId="0" fontId="30" fillId="16" borderId="0" xfId="0" applyFont="1" applyFill="1" applyBorder="1" applyAlignment="1">
      <alignment horizontal="center" vertical="center"/>
    </xf>
    <xf numFmtId="49" fontId="0" fillId="16" borderId="0" xfId="0" applyNumberFormat="1" applyFont="1" applyFill="1" applyBorder="1" applyAlignment="1">
      <alignment horizontal="center" vertical="center"/>
    </xf>
    <xf numFmtId="0" fontId="30" fillId="16" borderId="19" xfId="0" applyFont="1" applyFill="1" applyBorder="1" applyAlignment="1">
      <alignment horizontal="center" vertical="center"/>
    </xf>
    <xf numFmtId="0" fontId="17" fillId="16" borderId="16" xfId="0" applyFont="1" applyFill="1" applyBorder="1" applyAlignment="1">
      <alignment horizontal="center"/>
    </xf>
    <xf numFmtId="0" fontId="17" fillId="16" borderId="0" xfId="0" applyFont="1" applyFill="1" applyBorder="1" applyAlignment="1">
      <alignment horizontal="center"/>
    </xf>
    <xf numFmtId="0" fontId="17" fillId="16" borderId="15" xfId="0" applyFont="1" applyFill="1" applyBorder="1" applyAlignment="1">
      <alignment horizontal="center"/>
    </xf>
    <xf numFmtId="0" fontId="0" fillId="16" borderId="16" xfId="0" applyFont="1" applyFill="1" applyBorder="1" applyAlignment="1">
      <alignment horizontal="center"/>
    </xf>
    <xf numFmtId="0" fontId="0" fillId="16" borderId="0" xfId="0" applyFont="1" applyFill="1" applyBorder="1" applyAlignment="1">
      <alignment horizontal="center"/>
    </xf>
    <xf numFmtId="0" fontId="0" fillId="16" borderId="15" xfId="0" applyFont="1" applyFill="1" applyBorder="1" applyAlignment="1">
      <alignment horizontal="center"/>
    </xf>
    <xf numFmtId="0" fontId="12" fillId="16" borderId="29" xfId="0" applyFont="1" applyFill="1" applyBorder="1" applyAlignment="1">
      <alignment horizontal="center"/>
    </xf>
    <xf numFmtId="0" fontId="127" fillId="16" borderId="31" xfId="0" applyFont="1" applyFill="1" applyBorder="1" applyAlignment="1">
      <alignment horizontal="center"/>
    </xf>
    <xf numFmtId="0" fontId="12" fillId="16" borderId="38" xfId="0" applyFont="1" applyFill="1" applyBorder="1" applyAlignment="1">
      <alignment horizontal="center"/>
    </xf>
    <xf numFmtId="17" fontId="12" fillId="16" borderId="25" xfId="0" applyNumberFormat="1" applyFont="1" applyFill="1" applyBorder="1" applyAlignment="1">
      <alignment horizontal="center"/>
    </xf>
    <xf numFmtId="17" fontId="12" fillId="16" borderId="30" xfId="0" applyNumberFormat="1" applyFont="1" applyFill="1" applyBorder="1" applyAlignment="1">
      <alignment horizontal="center"/>
    </xf>
    <xf numFmtId="0" fontId="12" fillId="16" borderId="25" xfId="0" applyFont="1" applyFill="1" applyBorder="1" applyAlignment="1">
      <alignment horizontal="center"/>
    </xf>
    <xf numFmtId="17" fontId="12" fillId="16" borderId="36" xfId="0" applyNumberFormat="1" applyFont="1" applyFill="1" applyBorder="1" applyAlignment="1">
      <alignment horizontal="center"/>
    </xf>
    <xf numFmtId="0" fontId="12" fillId="16" borderId="22" xfId="0" applyFont="1" applyFill="1" applyBorder="1" applyAlignment="1">
      <alignment/>
    </xf>
    <xf numFmtId="0" fontId="12" fillId="16" borderId="16" xfId="0" applyFont="1" applyFill="1" applyBorder="1" applyAlignment="1">
      <alignment horizontal="center"/>
    </xf>
    <xf numFmtId="0" fontId="12" fillId="16" borderId="15" xfId="0" applyFont="1" applyFill="1" applyBorder="1" applyAlignment="1">
      <alignment horizontal="center"/>
    </xf>
    <xf numFmtId="0" fontId="12" fillId="16" borderId="43" xfId="0" applyFont="1" applyFill="1" applyBorder="1" applyAlignment="1">
      <alignment horizontal="center"/>
    </xf>
    <xf numFmtId="0" fontId="12" fillId="16" borderId="34" xfId="0" applyFont="1" applyFill="1" applyBorder="1" applyAlignment="1">
      <alignment/>
    </xf>
    <xf numFmtId="0" fontId="12" fillId="16" borderId="25" xfId="0" applyFont="1" applyFill="1" applyBorder="1" applyAlignment="1">
      <alignment/>
    </xf>
    <xf numFmtId="0" fontId="12" fillId="16" borderId="22" xfId="0" applyFont="1" applyFill="1" applyBorder="1" applyAlignment="1">
      <alignment horizontal="center"/>
    </xf>
    <xf numFmtId="0" fontId="12" fillId="16" borderId="31" xfId="0" applyFont="1" applyFill="1" applyBorder="1" applyAlignment="1">
      <alignment/>
    </xf>
    <xf numFmtId="0" fontId="12" fillId="16" borderId="15" xfId="0" applyFont="1" applyFill="1" applyBorder="1" applyAlignment="1">
      <alignment/>
    </xf>
    <xf numFmtId="0" fontId="12" fillId="16" borderId="38" xfId="0" applyFont="1" applyFill="1" applyBorder="1" applyAlignment="1">
      <alignment/>
    </xf>
    <xf numFmtId="168" fontId="12" fillId="16" borderId="42" xfId="70" applyNumberFormat="1" applyFont="1" applyFill="1" applyBorder="1" applyAlignment="1">
      <alignment horizontal="center"/>
    </xf>
    <xf numFmtId="168" fontId="12" fillId="16" borderId="0" xfId="0" applyNumberFormat="1" applyFont="1" applyFill="1" applyAlignment="1">
      <alignment/>
    </xf>
    <xf numFmtId="168" fontId="12" fillId="16" borderId="17" xfId="0" applyNumberFormat="1" applyFont="1" applyFill="1" applyBorder="1" applyAlignment="1">
      <alignment/>
    </xf>
    <xf numFmtId="168" fontId="12" fillId="16" borderId="19" xfId="0" applyNumberFormat="1" applyFont="1" applyFill="1" applyBorder="1" applyAlignment="1">
      <alignment/>
    </xf>
    <xf numFmtId="168" fontId="12" fillId="16" borderId="18" xfId="0" applyNumberFormat="1" applyFont="1" applyFill="1" applyBorder="1" applyAlignment="1">
      <alignment/>
    </xf>
    <xf numFmtId="166" fontId="0" fillId="16" borderId="18" xfId="70" applyNumberFormat="1" applyFont="1" applyFill="1" applyBorder="1" applyAlignment="1">
      <alignment horizontal="center"/>
    </xf>
    <xf numFmtId="0" fontId="0" fillId="16" borderId="0" xfId="0" applyFont="1" applyFill="1" applyBorder="1" applyAlignment="1">
      <alignment horizontal="center"/>
    </xf>
    <xf numFmtId="168" fontId="0" fillId="16" borderId="20" xfId="70" applyNumberFormat="1" applyFont="1" applyFill="1" applyBorder="1" applyAlignment="1">
      <alignment horizontal="right"/>
    </xf>
    <xf numFmtId="168" fontId="0" fillId="0" borderId="0" xfId="70" applyNumberFormat="1" applyFont="1" applyFill="1" applyBorder="1" applyAlignment="1">
      <alignment/>
    </xf>
    <xf numFmtId="168" fontId="0" fillId="0" borderId="10" xfId="70" applyNumberFormat="1" applyFont="1" applyFill="1" applyBorder="1" applyAlignment="1">
      <alignment/>
    </xf>
    <xf numFmtId="0" fontId="8" fillId="16" borderId="22" xfId="54" applyFont="1" applyFill="1" applyBorder="1" applyAlignment="1">
      <alignment horizontal="center" vertical="center"/>
      <protection/>
    </xf>
    <xf numFmtId="0" fontId="25" fillId="16" borderId="22" xfId="44" applyFont="1" applyFill="1" applyBorder="1" applyAlignment="1" applyProtection="1">
      <alignment horizontal="center" vertical="center"/>
      <protection/>
    </xf>
    <xf numFmtId="0" fontId="0" fillId="16" borderId="22" xfId="0" applyFill="1" applyBorder="1" applyAlignment="1">
      <alignment/>
    </xf>
    <xf numFmtId="0" fontId="12" fillId="16" borderId="0" xfId="53" applyFont="1" applyFill="1" applyBorder="1">
      <alignment/>
      <protection/>
    </xf>
    <xf numFmtId="164" fontId="15" fillId="36" borderId="13" xfId="70" applyFont="1" applyFill="1" applyBorder="1" applyAlignment="1">
      <alignment/>
    </xf>
    <xf numFmtId="164" fontId="128" fillId="36" borderId="22" xfId="70" applyFont="1" applyFill="1" applyBorder="1" applyAlignment="1">
      <alignment/>
    </xf>
    <xf numFmtId="164" fontId="15" fillId="36" borderId="22" xfId="70" applyFont="1" applyFill="1" applyBorder="1" applyAlignment="1">
      <alignment/>
    </xf>
    <xf numFmtId="164" fontId="128" fillId="36" borderId="23" xfId="70" applyFont="1" applyFill="1" applyBorder="1" applyAlignment="1">
      <alignment/>
    </xf>
    <xf numFmtId="170" fontId="0" fillId="0" borderId="10" xfId="70" applyNumberFormat="1" applyFont="1" applyBorder="1" applyAlignment="1">
      <alignment/>
    </xf>
    <xf numFmtId="0" fontId="0" fillId="0" borderId="0" xfId="0" applyFont="1" applyAlignment="1">
      <alignment horizontal="center"/>
    </xf>
    <xf numFmtId="168" fontId="0" fillId="0" borderId="0" xfId="70" applyNumberFormat="1" applyFont="1" applyAlignment="1">
      <alignment/>
    </xf>
    <xf numFmtId="0" fontId="0" fillId="0" borderId="24" xfId="0" applyFont="1" applyBorder="1" applyAlignment="1">
      <alignment horizontal="center" vertical="center" wrapText="1"/>
    </xf>
    <xf numFmtId="168" fontId="0" fillId="0" borderId="19" xfId="70" applyNumberFormat="1" applyFont="1" applyBorder="1" applyAlignment="1">
      <alignment/>
    </xf>
    <xf numFmtId="168" fontId="0" fillId="0" borderId="19" xfId="0" applyNumberFormat="1" applyBorder="1" applyAlignment="1">
      <alignment/>
    </xf>
    <xf numFmtId="0" fontId="0" fillId="0" borderId="24" xfId="0" applyFont="1" applyFill="1" applyBorder="1" applyAlignment="1">
      <alignment horizontal="center" vertical="center" wrapText="1"/>
    </xf>
    <xf numFmtId="2" fontId="0" fillId="0" borderId="0" xfId="0" applyNumberFormat="1" applyAlignment="1">
      <alignment horizontal="right"/>
    </xf>
    <xf numFmtId="168" fontId="0" fillId="0" borderId="0" xfId="70" applyNumberFormat="1" applyFont="1" applyAlignment="1">
      <alignment horizontal="center"/>
    </xf>
    <xf numFmtId="168" fontId="0" fillId="0" borderId="19" xfId="70" applyNumberFormat="1" applyFont="1" applyBorder="1" applyAlignment="1">
      <alignment horizontal="center"/>
    </xf>
    <xf numFmtId="0" fontId="0" fillId="0" borderId="0" xfId="0" applyFont="1" applyBorder="1" applyAlignment="1">
      <alignment horizontal="center"/>
    </xf>
    <xf numFmtId="0" fontId="0" fillId="0" borderId="19" xfId="0" applyFont="1" applyFill="1" applyBorder="1" applyAlignment="1">
      <alignment horizontal="center"/>
    </xf>
    <xf numFmtId="0" fontId="0" fillId="0" borderId="0" xfId="0" applyFont="1" applyFill="1" applyBorder="1" applyAlignment="1">
      <alignment horizontal="left"/>
    </xf>
    <xf numFmtId="168" fontId="0" fillId="0" borderId="0" xfId="70" applyNumberFormat="1" applyFont="1" applyFill="1" applyBorder="1" applyAlignment="1">
      <alignment horizontal="center"/>
    </xf>
    <xf numFmtId="3" fontId="129" fillId="0" borderId="0" xfId="0" applyNumberFormat="1" applyFont="1" applyAlignment="1">
      <alignment/>
    </xf>
    <xf numFmtId="2" fontId="0" fillId="0" borderId="0" xfId="0" applyNumberFormat="1" applyFont="1" applyFill="1" applyBorder="1" applyAlignment="1">
      <alignment horizontal="right"/>
    </xf>
    <xf numFmtId="0" fontId="0" fillId="16" borderId="0" xfId="0" applyFont="1" applyFill="1" applyBorder="1" applyAlignment="1">
      <alignment horizontal="center"/>
    </xf>
    <xf numFmtId="168" fontId="12" fillId="16" borderId="0" xfId="0" applyNumberFormat="1" applyFont="1" applyFill="1" applyBorder="1" applyAlignment="1">
      <alignment/>
    </xf>
    <xf numFmtId="168" fontId="12" fillId="16" borderId="15" xfId="70" applyNumberFormat="1" applyFont="1" applyFill="1" applyBorder="1" applyAlignment="1">
      <alignment horizontal="right"/>
    </xf>
    <xf numFmtId="0" fontId="130" fillId="16" borderId="23" xfId="0" applyFont="1" applyFill="1" applyBorder="1" applyAlignment="1">
      <alignment/>
    </xf>
    <xf numFmtId="3" fontId="0" fillId="0" borderId="69" xfId="0" applyNumberFormat="1" applyFont="1" applyFill="1" applyBorder="1" applyAlignment="1">
      <alignment/>
    </xf>
    <xf numFmtId="168" fontId="0" fillId="0" borderId="69" xfId="70" applyNumberFormat="1" applyFont="1" applyFill="1" applyBorder="1" applyAlignment="1">
      <alignment/>
    </xf>
    <xf numFmtId="0" fontId="0" fillId="0" borderId="15" xfId="0" applyFill="1" applyBorder="1" applyAlignment="1">
      <alignment horizontal="left" vertical="center"/>
    </xf>
    <xf numFmtId="3" fontId="0" fillId="0" borderId="0" xfId="0" applyNumberFormat="1" applyAlignment="1">
      <alignment/>
    </xf>
    <xf numFmtId="3" fontId="0" fillId="0" borderId="10" xfId="0" applyNumberFormat="1" applyBorder="1" applyAlignment="1">
      <alignment/>
    </xf>
    <xf numFmtId="0" fontId="5" fillId="12" borderId="15" xfId="0" applyFont="1" applyFill="1" applyBorder="1" applyAlignment="1">
      <alignment horizontal="center" vertical="center" wrapText="1"/>
    </xf>
    <xf numFmtId="3" fontId="0" fillId="36" borderId="16" xfId="70" applyNumberFormat="1" applyFont="1" applyFill="1" applyBorder="1" applyAlignment="1">
      <alignment vertical="center"/>
    </xf>
    <xf numFmtId="3" fontId="0" fillId="36" borderId="22" xfId="70" applyNumberFormat="1" applyFont="1" applyFill="1" applyBorder="1" applyAlignment="1">
      <alignment vertical="center"/>
    </xf>
    <xf numFmtId="168" fontId="8" fillId="19" borderId="11" xfId="70" applyNumberFormat="1" applyFont="1" applyFill="1" applyBorder="1" applyAlignment="1">
      <alignment vertical="center"/>
    </xf>
    <xf numFmtId="168" fontId="8" fillId="19" borderId="12" xfId="70" applyNumberFormat="1" applyFont="1" applyFill="1" applyBorder="1" applyAlignment="1">
      <alignment vertical="center"/>
    </xf>
    <xf numFmtId="168" fontId="0" fillId="36" borderId="22" xfId="70" applyNumberFormat="1" applyFont="1" applyFill="1" applyBorder="1" applyAlignment="1">
      <alignment/>
    </xf>
    <xf numFmtId="168" fontId="13" fillId="36" borderId="22" xfId="70" applyNumberFormat="1" applyFont="1" applyFill="1" applyBorder="1" applyAlignment="1">
      <alignment/>
    </xf>
    <xf numFmtId="49" fontId="22" fillId="36" borderId="0" xfId="56" applyNumberFormat="1" applyFont="1" applyFill="1" applyBorder="1" applyAlignment="1">
      <alignment horizontal="left" vertical="center" indent="1"/>
      <protection/>
    </xf>
    <xf numFmtId="49" fontId="22" fillId="36" borderId="20" xfId="56" applyNumberFormat="1" applyFont="1" applyFill="1" applyBorder="1" applyAlignment="1">
      <alignment horizontal="left" vertical="center" indent="1"/>
      <protection/>
    </xf>
    <xf numFmtId="3" fontId="0" fillId="36" borderId="13" xfId="70" applyNumberFormat="1" applyFont="1" applyFill="1" applyBorder="1" applyAlignment="1">
      <alignment vertical="center"/>
    </xf>
    <xf numFmtId="171" fontId="22" fillId="36" borderId="20" xfId="58" applyNumberFormat="1" applyFont="1" applyFill="1" applyBorder="1" applyAlignment="1">
      <alignment horizontal="right" vertical="center"/>
    </xf>
    <xf numFmtId="171" fontId="22" fillId="36" borderId="13" xfId="58" applyNumberFormat="1" applyFont="1" applyFill="1" applyBorder="1" applyAlignment="1">
      <alignment horizontal="right" vertical="center"/>
    </xf>
    <xf numFmtId="165" fontId="0" fillId="36" borderId="0" xfId="0" applyNumberFormat="1" applyFill="1" applyBorder="1" applyAlignment="1">
      <alignment/>
    </xf>
    <xf numFmtId="49" fontId="22" fillId="36" borderId="15" xfId="56" applyNumberFormat="1" applyFont="1" applyFill="1" applyBorder="1" applyAlignment="1">
      <alignment horizontal="left" vertical="center" indent="1"/>
      <protection/>
    </xf>
    <xf numFmtId="171" fontId="22" fillId="36" borderId="15" xfId="58" applyNumberFormat="1" applyFont="1" applyFill="1" applyBorder="1" applyAlignment="1">
      <alignment horizontal="right" vertical="center"/>
    </xf>
    <xf numFmtId="171" fontId="22" fillId="36" borderId="22" xfId="58" applyNumberFormat="1" applyFont="1" applyFill="1" applyBorder="1" applyAlignment="1">
      <alignment horizontal="right" vertical="center"/>
    </xf>
    <xf numFmtId="49" fontId="22" fillId="36" borderId="19" xfId="56" applyNumberFormat="1" applyFont="1" applyFill="1" applyBorder="1" applyAlignment="1">
      <alignment horizontal="left" vertical="center" indent="1"/>
      <protection/>
    </xf>
    <xf numFmtId="49" fontId="22" fillId="36" borderId="18" xfId="56" applyNumberFormat="1" applyFont="1" applyFill="1" applyBorder="1" applyAlignment="1">
      <alignment horizontal="left" vertical="center" indent="1"/>
      <protection/>
    </xf>
    <xf numFmtId="3" fontId="0" fillId="36" borderId="23" xfId="70" applyNumberFormat="1" applyFont="1" applyFill="1" applyBorder="1" applyAlignment="1">
      <alignment vertical="center"/>
    </xf>
    <xf numFmtId="171" fontId="22" fillId="36" borderId="18" xfId="58" applyNumberFormat="1" applyFont="1" applyFill="1" applyBorder="1" applyAlignment="1">
      <alignment horizontal="right" vertical="center"/>
    </xf>
    <xf numFmtId="171" fontId="22" fillId="36" borderId="23" xfId="58" applyNumberFormat="1" applyFont="1" applyFill="1" applyBorder="1" applyAlignment="1">
      <alignment horizontal="right" vertical="center"/>
    </xf>
    <xf numFmtId="165" fontId="0" fillId="36" borderId="19" xfId="0" applyNumberFormat="1" applyFill="1" applyBorder="1" applyAlignment="1">
      <alignment/>
    </xf>
    <xf numFmtId="49" fontId="23" fillId="36" borderId="0" xfId="56" applyNumberFormat="1" applyFont="1" applyFill="1" applyBorder="1" applyAlignment="1">
      <alignment horizontal="left" vertical="center" indent="1"/>
      <protection/>
    </xf>
    <xf numFmtId="49" fontId="23" fillId="36" borderId="15" xfId="56" applyNumberFormat="1" applyFont="1" applyFill="1" applyBorder="1" applyAlignment="1">
      <alignment horizontal="left" vertical="center" indent="1"/>
      <protection/>
    </xf>
    <xf numFmtId="168" fontId="18" fillId="36" borderId="22" xfId="70" applyNumberFormat="1" applyFont="1" applyFill="1" applyBorder="1" applyAlignment="1">
      <alignment/>
    </xf>
    <xf numFmtId="171" fontId="23" fillId="36" borderId="15" xfId="58" applyNumberFormat="1" applyFont="1" applyFill="1" applyBorder="1" applyAlignment="1">
      <alignment horizontal="right" vertical="center"/>
    </xf>
    <xf numFmtId="171" fontId="23" fillId="36" borderId="22" xfId="58" applyNumberFormat="1" applyFont="1" applyFill="1" applyBorder="1" applyAlignment="1">
      <alignment horizontal="right" vertical="center"/>
    </xf>
    <xf numFmtId="165" fontId="8" fillId="36" borderId="0" xfId="0" applyNumberFormat="1" applyFont="1" applyFill="1" applyBorder="1" applyAlignment="1">
      <alignment/>
    </xf>
    <xf numFmtId="49" fontId="23" fillId="36" borderId="15" xfId="56" applyNumberFormat="1" applyFont="1" applyFill="1" applyBorder="1" applyAlignment="1">
      <alignment vertical="center"/>
      <protection/>
    </xf>
    <xf numFmtId="168" fontId="18" fillId="36" borderId="22" xfId="70" applyNumberFormat="1" applyFont="1" applyFill="1" applyBorder="1" applyAlignment="1">
      <alignment horizontal="right" vertical="center"/>
    </xf>
    <xf numFmtId="49" fontId="23" fillId="36" borderId="19" xfId="56" applyNumberFormat="1" applyFont="1" applyFill="1" applyBorder="1" applyAlignment="1">
      <alignment horizontal="left" vertical="center" indent="1"/>
      <protection/>
    </xf>
    <xf numFmtId="49" fontId="23" fillId="36" borderId="18" xfId="56" applyNumberFormat="1" applyFont="1" applyFill="1" applyBorder="1" applyAlignment="1">
      <alignment vertical="center"/>
      <protection/>
    </xf>
    <xf numFmtId="168" fontId="18" fillId="36" borderId="23" xfId="70" applyNumberFormat="1" applyFont="1" applyFill="1" applyBorder="1" applyAlignment="1">
      <alignment/>
    </xf>
    <xf numFmtId="168" fontId="18" fillId="36" borderId="18" xfId="70" applyNumberFormat="1" applyFont="1" applyFill="1" applyBorder="1" applyAlignment="1">
      <alignment/>
    </xf>
    <xf numFmtId="172" fontId="13" fillId="36" borderId="23" xfId="56" applyNumberFormat="1" applyFont="1" applyFill="1" applyBorder="1" applyAlignment="1">
      <alignment horizontal="right" vertical="center"/>
      <protection/>
    </xf>
    <xf numFmtId="165" fontId="0" fillId="36" borderId="17" xfId="0" applyNumberFormat="1" applyFill="1" applyBorder="1" applyAlignment="1">
      <alignment/>
    </xf>
    <xf numFmtId="168" fontId="13" fillId="36" borderId="13" xfId="70" applyNumberFormat="1" applyFont="1" applyFill="1" applyBorder="1" applyAlignment="1">
      <alignment/>
    </xf>
    <xf numFmtId="168" fontId="22" fillId="36" borderId="13" xfId="70" applyNumberFormat="1" applyFont="1" applyFill="1" applyBorder="1" applyAlignment="1">
      <alignment/>
    </xf>
    <xf numFmtId="168" fontId="22" fillId="36" borderId="22" xfId="70" applyNumberFormat="1" applyFont="1" applyFill="1" applyBorder="1" applyAlignment="1">
      <alignment/>
    </xf>
    <xf numFmtId="168" fontId="13" fillId="36" borderId="23" xfId="70" applyNumberFormat="1" applyFont="1" applyFill="1" applyBorder="1" applyAlignment="1">
      <alignment/>
    </xf>
    <xf numFmtId="168" fontId="22" fillId="36" borderId="23" xfId="70" applyNumberFormat="1" applyFont="1" applyFill="1" applyBorder="1" applyAlignment="1">
      <alignment/>
    </xf>
    <xf numFmtId="168" fontId="23" fillId="36" borderId="22" xfId="70" applyNumberFormat="1" applyFont="1" applyFill="1" applyBorder="1" applyAlignment="1">
      <alignment horizontal="right" vertical="center"/>
    </xf>
    <xf numFmtId="49" fontId="23" fillId="36" borderId="18" xfId="56" applyNumberFormat="1" applyFont="1" applyFill="1" applyBorder="1" applyAlignment="1">
      <alignment horizontal="left" vertical="center" indent="1"/>
      <protection/>
    </xf>
    <xf numFmtId="168" fontId="18" fillId="36" borderId="23" xfId="70" applyNumberFormat="1" applyFont="1" applyFill="1" applyBorder="1" applyAlignment="1">
      <alignment horizontal="right" vertical="center"/>
    </xf>
    <xf numFmtId="171" fontId="23" fillId="36" borderId="18" xfId="58" applyNumberFormat="1" applyFont="1" applyFill="1" applyBorder="1" applyAlignment="1">
      <alignment horizontal="right" vertical="center"/>
    </xf>
    <xf numFmtId="168" fontId="23" fillId="36" borderId="23" xfId="70" applyNumberFormat="1" applyFont="1" applyFill="1" applyBorder="1" applyAlignment="1">
      <alignment horizontal="right" vertical="center"/>
    </xf>
    <xf numFmtId="165" fontId="67" fillId="12" borderId="15" xfId="0" applyNumberFormat="1" applyFont="1" applyFill="1" applyBorder="1" applyAlignment="1">
      <alignment horizontal="center"/>
    </xf>
    <xf numFmtId="0" fontId="59" fillId="10" borderId="13" xfId="0" applyFont="1" applyFill="1" applyBorder="1" applyAlignment="1">
      <alignment horizontal="center"/>
    </xf>
    <xf numFmtId="0" fontId="59" fillId="10" borderId="22" xfId="0" applyFont="1" applyFill="1" applyBorder="1" applyAlignment="1">
      <alignment horizontal="justify"/>
    </xf>
    <xf numFmtId="0" fontId="61" fillId="10" borderId="22" xfId="0" applyFont="1" applyFill="1" applyBorder="1" applyAlignment="1">
      <alignment horizontal="justify"/>
    </xf>
    <xf numFmtId="0" fontId="61" fillId="10" borderId="22" xfId="0" applyFont="1" applyFill="1" applyBorder="1" applyAlignment="1">
      <alignment/>
    </xf>
    <xf numFmtId="0" fontId="58" fillId="10" borderId="22" xfId="0" applyFont="1" applyFill="1" applyBorder="1" applyAlignment="1">
      <alignment horizontal="justify"/>
    </xf>
    <xf numFmtId="0" fontId="0" fillId="10" borderId="23" xfId="0" applyFill="1" applyBorder="1" applyAlignment="1">
      <alignment/>
    </xf>
    <xf numFmtId="0" fontId="0" fillId="36" borderId="0" xfId="0" applyFill="1" applyAlignment="1">
      <alignment/>
    </xf>
    <xf numFmtId="0" fontId="39" fillId="46" borderId="22" xfId="0" applyFont="1" applyFill="1" applyBorder="1" applyAlignment="1">
      <alignment horizontal="center" vertical="center"/>
    </xf>
    <xf numFmtId="0" fontId="117" fillId="37" borderId="0" xfId="0" applyFont="1" applyFill="1" applyBorder="1" applyAlignment="1">
      <alignment horizontal="center"/>
    </xf>
    <xf numFmtId="0" fontId="17" fillId="16" borderId="16" xfId="0" applyFont="1" applyFill="1" applyBorder="1" applyAlignment="1">
      <alignment horizontal="center"/>
    </xf>
    <xf numFmtId="0" fontId="17" fillId="16" borderId="0" xfId="0" applyFont="1" applyFill="1" applyBorder="1" applyAlignment="1">
      <alignment horizontal="center"/>
    </xf>
    <xf numFmtId="0" fontId="17" fillId="16" borderId="15" xfId="0" applyFont="1" applyFill="1" applyBorder="1" applyAlignment="1">
      <alignment horizontal="center"/>
    </xf>
    <xf numFmtId="0" fontId="5" fillId="16" borderId="25" xfId="0" applyFont="1" applyFill="1" applyBorder="1" applyAlignment="1">
      <alignment horizontal="center"/>
    </xf>
    <xf numFmtId="0" fontId="3" fillId="16" borderId="0" xfId="0" applyFont="1" applyFill="1" applyBorder="1" applyAlignment="1">
      <alignment horizontal="center" vertical="center" wrapText="1"/>
    </xf>
    <xf numFmtId="0" fontId="131" fillId="37" borderId="0" xfId="0" applyFont="1" applyFill="1" applyAlignment="1">
      <alignment horizontal="center"/>
    </xf>
    <xf numFmtId="0" fontId="0" fillId="12" borderId="41" xfId="0" applyFont="1" applyFill="1" applyBorder="1" applyAlignment="1">
      <alignment horizontal="center"/>
    </xf>
    <xf numFmtId="0" fontId="0" fillId="12" borderId="32" xfId="0" applyFont="1" applyFill="1" applyBorder="1" applyAlignment="1">
      <alignment horizontal="center"/>
    </xf>
    <xf numFmtId="0" fontId="0" fillId="12" borderId="51" xfId="0" applyFont="1" applyFill="1" applyBorder="1" applyAlignment="1">
      <alignment horizontal="center"/>
    </xf>
    <xf numFmtId="0" fontId="0" fillId="12" borderId="37" xfId="0" applyFont="1" applyFill="1" applyBorder="1" applyAlignment="1">
      <alignment horizontal="center"/>
    </xf>
    <xf numFmtId="0" fontId="0" fillId="12" borderId="27" xfId="0" applyFont="1" applyFill="1" applyBorder="1" applyAlignment="1">
      <alignment horizontal="center"/>
    </xf>
    <xf numFmtId="0" fontId="0" fillId="12" borderId="43" xfId="0" applyFont="1" applyFill="1" applyBorder="1" applyAlignment="1">
      <alignment horizontal="center" vertical="center"/>
    </xf>
    <xf numFmtId="0" fontId="0" fillId="12" borderId="25" xfId="0" applyFont="1" applyFill="1" applyBorder="1" applyAlignment="1" quotePrefix="1">
      <alignment horizontal="center" vertical="center"/>
    </xf>
    <xf numFmtId="2" fontId="5" fillId="12" borderId="0" xfId="0" applyNumberFormat="1" applyFont="1" applyFill="1" applyBorder="1" applyAlignment="1">
      <alignment horizontal="center" vertical="center"/>
    </xf>
    <xf numFmtId="2" fontId="5" fillId="12" borderId="19" xfId="0" applyNumberFormat="1" applyFont="1" applyFill="1" applyBorder="1" applyAlignment="1">
      <alignment horizontal="center" vertical="center"/>
    </xf>
    <xf numFmtId="0" fontId="3" fillId="16" borderId="14" xfId="0" applyFont="1" applyFill="1" applyBorder="1" applyAlignment="1">
      <alignment horizontal="center"/>
    </xf>
    <xf numFmtId="0" fontId="3" fillId="16" borderId="21" xfId="0" applyFont="1" applyFill="1" applyBorder="1" applyAlignment="1">
      <alignment horizontal="center"/>
    </xf>
    <xf numFmtId="0" fontId="3" fillId="16" borderId="20" xfId="0" applyFont="1" applyFill="1" applyBorder="1" applyAlignment="1">
      <alignment horizontal="center"/>
    </xf>
    <xf numFmtId="0" fontId="7" fillId="16" borderId="11" xfId="0" applyFont="1" applyFill="1" applyBorder="1" applyAlignment="1">
      <alignment horizontal="center"/>
    </xf>
    <xf numFmtId="0" fontId="7" fillId="16" borderId="24" xfId="0" applyFont="1" applyFill="1" applyBorder="1" applyAlignment="1">
      <alignment horizontal="center"/>
    </xf>
    <xf numFmtId="0" fontId="7" fillId="16" borderId="12" xfId="0" applyFont="1" applyFill="1" applyBorder="1" applyAlignment="1">
      <alignment horizontal="center"/>
    </xf>
    <xf numFmtId="2" fontId="7" fillId="12" borderId="16" xfId="0" applyNumberFormat="1" applyFont="1" applyFill="1" applyBorder="1" applyAlignment="1">
      <alignment horizontal="left" vertical="top" wrapText="1"/>
    </xf>
    <xf numFmtId="2" fontId="7" fillId="12" borderId="0" xfId="0" applyNumberFormat="1" applyFont="1" applyFill="1" applyBorder="1" applyAlignment="1">
      <alignment horizontal="left" vertical="top" wrapText="1"/>
    </xf>
    <xf numFmtId="2" fontId="7" fillId="12" borderId="15" xfId="0" applyNumberFormat="1" applyFont="1" applyFill="1" applyBorder="1" applyAlignment="1">
      <alignment horizontal="left" vertical="top" wrapText="1"/>
    </xf>
    <xf numFmtId="2" fontId="7" fillId="12" borderId="17" xfId="0" applyNumberFormat="1" applyFont="1" applyFill="1" applyBorder="1" applyAlignment="1">
      <alignment horizontal="left" vertical="top" wrapText="1"/>
    </xf>
    <xf numFmtId="2" fontId="7" fillId="12" borderId="19" xfId="0" applyNumberFormat="1" applyFont="1" applyFill="1" applyBorder="1" applyAlignment="1">
      <alignment horizontal="left" vertical="top" wrapText="1"/>
    </xf>
    <xf numFmtId="2" fontId="7" fillId="12" borderId="18" xfId="0" applyNumberFormat="1" applyFont="1" applyFill="1" applyBorder="1" applyAlignment="1">
      <alignment horizontal="left" vertical="top" wrapText="1"/>
    </xf>
    <xf numFmtId="0" fontId="5" fillId="12" borderId="16" xfId="0" applyFont="1" applyFill="1" applyBorder="1" applyAlignment="1">
      <alignment horizontal="center" vertical="center"/>
    </xf>
    <xf numFmtId="0" fontId="5" fillId="12" borderId="17" xfId="0" applyFont="1" applyFill="1" applyBorder="1" applyAlignment="1">
      <alignment horizontal="center" vertical="center"/>
    </xf>
    <xf numFmtId="0" fontId="5" fillId="12" borderId="15" xfId="0" applyFont="1" applyFill="1" applyBorder="1" applyAlignment="1">
      <alignment horizontal="center" vertical="center" wrapText="1"/>
    </xf>
    <xf numFmtId="0" fontId="0" fillId="0" borderId="18" xfId="0" applyFont="1" applyBorder="1" applyAlignment="1">
      <alignment horizontal="center" vertical="center" wrapText="1"/>
    </xf>
    <xf numFmtId="0" fontId="8" fillId="34" borderId="20" xfId="53" applyFont="1" applyFill="1" applyBorder="1" applyAlignment="1">
      <alignment horizontal="center" vertical="center"/>
      <protection/>
    </xf>
    <xf numFmtId="0" fontId="8" fillId="34" borderId="18" xfId="53" applyFont="1" applyFill="1" applyBorder="1" applyAlignment="1">
      <alignment horizontal="center" vertical="center"/>
      <protection/>
    </xf>
    <xf numFmtId="0" fontId="8" fillId="34" borderId="11" xfId="53" applyFont="1" applyFill="1" applyBorder="1" applyAlignment="1">
      <alignment horizontal="center" vertical="center"/>
      <protection/>
    </xf>
    <xf numFmtId="0" fontId="8" fillId="34" borderId="24" xfId="53" applyFont="1" applyFill="1" applyBorder="1" applyAlignment="1">
      <alignment horizontal="center" vertical="center"/>
      <protection/>
    </xf>
    <xf numFmtId="0" fontId="8" fillId="34" borderId="12" xfId="53" applyFont="1" applyFill="1" applyBorder="1" applyAlignment="1">
      <alignment horizontal="center" vertical="center"/>
      <protection/>
    </xf>
    <xf numFmtId="0" fontId="8" fillId="34" borderId="14" xfId="53" applyFont="1" applyFill="1" applyBorder="1" applyAlignment="1">
      <alignment horizontal="center" vertical="center" wrapText="1"/>
      <protection/>
    </xf>
    <xf numFmtId="0" fontId="8" fillId="34" borderId="17" xfId="53" applyFont="1" applyFill="1" applyBorder="1" applyAlignment="1">
      <alignment horizontal="center" vertical="center" wrapText="1"/>
      <protection/>
    </xf>
    <xf numFmtId="0" fontId="3" fillId="16" borderId="0" xfId="53" applyFont="1" applyFill="1" applyBorder="1" applyAlignment="1">
      <alignment horizontal="center"/>
      <protection/>
    </xf>
    <xf numFmtId="0" fontId="8" fillId="16" borderId="19" xfId="53" applyFont="1" applyFill="1" applyBorder="1" applyAlignment="1">
      <alignment horizontal="center"/>
      <protection/>
    </xf>
    <xf numFmtId="0" fontId="4" fillId="16" borderId="0" xfId="0" applyFont="1" applyFill="1" applyBorder="1" applyAlignment="1">
      <alignment horizontal="center"/>
    </xf>
    <xf numFmtId="17" fontId="4" fillId="16" borderId="0" xfId="0" applyNumberFormat="1" applyFont="1" applyFill="1" applyBorder="1" applyAlignment="1">
      <alignment horizontal="center"/>
    </xf>
    <xf numFmtId="0" fontId="11" fillId="16" borderId="0" xfId="0" applyFont="1" applyFill="1" applyBorder="1" applyAlignment="1">
      <alignment horizontal="center"/>
    </xf>
    <xf numFmtId="0" fontId="11" fillId="16" borderId="15" xfId="0" applyFont="1" applyFill="1" applyBorder="1" applyAlignment="1">
      <alignment horizontal="center"/>
    </xf>
    <xf numFmtId="0" fontId="14" fillId="16" borderId="11" xfId="0" applyFont="1" applyFill="1" applyBorder="1" applyAlignment="1">
      <alignment horizontal="left"/>
    </xf>
    <xf numFmtId="0" fontId="14" fillId="16" borderId="24" xfId="0" applyFont="1" applyFill="1" applyBorder="1" applyAlignment="1">
      <alignment horizontal="left"/>
    </xf>
    <xf numFmtId="0" fontId="14" fillId="16" borderId="11" xfId="0" applyFont="1" applyFill="1" applyBorder="1" applyAlignment="1">
      <alignment horizontal="center" vertical="center" wrapText="1"/>
    </xf>
    <xf numFmtId="0" fontId="14" fillId="16" borderId="24" xfId="0" applyFont="1" applyFill="1" applyBorder="1" applyAlignment="1">
      <alignment horizontal="center" vertical="center" wrapText="1"/>
    </xf>
    <xf numFmtId="0" fontId="14" fillId="16" borderId="12" xfId="0" applyFont="1" applyFill="1" applyBorder="1" applyAlignment="1">
      <alignment horizontal="center" vertical="center" wrapText="1"/>
    </xf>
    <xf numFmtId="0" fontId="14" fillId="16" borderId="13" xfId="0" applyFont="1" applyFill="1" applyBorder="1" applyAlignment="1">
      <alignment horizontal="center" vertical="center"/>
    </xf>
    <xf numFmtId="0" fontId="14" fillId="16" borderId="22" xfId="0" applyFont="1" applyFill="1" applyBorder="1" applyAlignment="1">
      <alignment horizontal="center" vertical="center"/>
    </xf>
    <xf numFmtId="0" fontId="14" fillId="16" borderId="23" xfId="0" applyFont="1" applyFill="1" applyBorder="1" applyAlignment="1">
      <alignment horizontal="center" vertical="center"/>
    </xf>
    <xf numFmtId="2" fontId="18" fillId="16" borderId="0" xfId="0" applyNumberFormat="1" applyFont="1" applyFill="1" applyBorder="1" applyAlignment="1">
      <alignment horizontal="center"/>
    </xf>
    <xf numFmtId="0" fontId="3" fillId="16" borderId="0" xfId="0" applyFont="1" applyFill="1" applyAlignment="1">
      <alignment horizontal="center"/>
    </xf>
    <xf numFmtId="0" fontId="18" fillId="16" borderId="0" xfId="0" applyFont="1" applyFill="1" applyBorder="1" applyAlignment="1">
      <alignment horizontal="center" vertical="center"/>
    </xf>
    <xf numFmtId="0" fontId="18" fillId="16" borderId="0" xfId="0" applyFont="1" applyFill="1" applyBorder="1" applyAlignment="1">
      <alignment horizontal="center"/>
    </xf>
    <xf numFmtId="2" fontId="18" fillId="19" borderId="16" xfId="0" applyNumberFormat="1" applyFont="1" applyFill="1" applyBorder="1" applyAlignment="1">
      <alignment horizontal="center"/>
    </xf>
    <xf numFmtId="2" fontId="18" fillId="19" borderId="0" xfId="0" applyNumberFormat="1" applyFont="1" applyFill="1" applyBorder="1" applyAlignment="1">
      <alignment horizontal="center"/>
    </xf>
    <xf numFmtId="2" fontId="18" fillId="19" borderId="15" xfId="0" applyNumberFormat="1" applyFont="1" applyFill="1" applyBorder="1" applyAlignment="1">
      <alignment horizontal="center"/>
    </xf>
    <xf numFmtId="2" fontId="18" fillId="19" borderId="17" xfId="0" applyNumberFormat="1" applyFont="1" applyFill="1" applyBorder="1" applyAlignment="1">
      <alignment horizontal="center"/>
    </xf>
    <xf numFmtId="2" fontId="18" fillId="19" borderId="19" xfId="0" applyNumberFormat="1" applyFont="1" applyFill="1" applyBorder="1" applyAlignment="1">
      <alignment horizontal="center"/>
    </xf>
    <xf numFmtId="2" fontId="18" fillId="19" borderId="18" xfId="0" applyNumberFormat="1" applyFont="1" applyFill="1" applyBorder="1" applyAlignment="1">
      <alignment horizontal="center"/>
    </xf>
    <xf numFmtId="0" fontId="18" fillId="19" borderId="17" xfId="0" applyFont="1" applyFill="1" applyBorder="1" applyAlignment="1">
      <alignment horizontal="center"/>
    </xf>
    <xf numFmtId="0" fontId="18" fillId="19" borderId="19" xfId="0" applyFont="1" applyFill="1" applyBorder="1" applyAlignment="1">
      <alignment horizontal="center"/>
    </xf>
    <xf numFmtId="0" fontId="18" fillId="19" borderId="18" xfId="0" applyFont="1" applyFill="1" applyBorder="1" applyAlignment="1">
      <alignment horizontal="center"/>
    </xf>
    <xf numFmtId="0" fontId="18" fillId="19" borderId="20" xfId="0" applyFont="1" applyFill="1" applyBorder="1" applyAlignment="1">
      <alignment horizontal="center" vertical="center"/>
    </xf>
    <xf numFmtId="0" fontId="18" fillId="19" borderId="15" xfId="0" applyFont="1" applyFill="1" applyBorder="1" applyAlignment="1">
      <alignment horizontal="center" vertical="center"/>
    </xf>
    <xf numFmtId="0" fontId="18" fillId="19" borderId="18" xfId="0" applyFont="1" applyFill="1" applyBorder="1" applyAlignment="1">
      <alignment horizontal="center" vertical="center"/>
    </xf>
    <xf numFmtId="0" fontId="12" fillId="16" borderId="19" xfId="45" applyFont="1" applyFill="1" applyBorder="1" applyAlignment="1" applyProtection="1">
      <alignment horizontal="left" vertical="center"/>
      <protection/>
    </xf>
    <xf numFmtId="49" fontId="18" fillId="16" borderId="14" xfId="56" applyNumberFormat="1" applyFont="1" applyFill="1" applyBorder="1" applyAlignment="1">
      <alignment horizontal="center" vertical="center"/>
      <protection/>
    </xf>
    <xf numFmtId="49" fontId="18" fillId="16" borderId="21" xfId="56" applyNumberFormat="1" applyFont="1" applyFill="1" applyBorder="1" applyAlignment="1">
      <alignment horizontal="center" vertical="center"/>
      <protection/>
    </xf>
    <xf numFmtId="49" fontId="18" fillId="16" borderId="20" xfId="56" applyNumberFormat="1" applyFont="1" applyFill="1" applyBorder="1" applyAlignment="1">
      <alignment horizontal="center" vertical="center"/>
      <protection/>
    </xf>
    <xf numFmtId="49" fontId="18" fillId="16" borderId="16" xfId="56" applyNumberFormat="1" applyFont="1" applyFill="1" applyBorder="1" applyAlignment="1">
      <alignment horizontal="center" vertical="center"/>
      <protection/>
    </xf>
    <xf numFmtId="49" fontId="18" fillId="16" borderId="0" xfId="56" applyNumberFormat="1" applyFont="1" applyFill="1" applyBorder="1" applyAlignment="1">
      <alignment horizontal="center" vertical="center"/>
      <protection/>
    </xf>
    <xf numFmtId="49" fontId="18" fillId="16" borderId="15" xfId="56" applyNumberFormat="1" applyFont="1" applyFill="1" applyBorder="1" applyAlignment="1">
      <alignment horizontal="center" vertical="center"/>
      <protection/>
    </xf>
    <xf numFmtId="49" fontId="18" fillId="34" borderId="21" xfId="55" applyNumberFormat="1" applyFont="1" applyFill="1" applyBorder="1" applyAlignment="1">
      <alignment horizontal="center" vertical="center" wrapText="1"/>
      <protection/>
    </xf>
    <xf numFmtId="49" fontId="18" fillId="34" borderId="20" xfId="55" applyNumberFormat="1" applyFont="1" applyFill="1" applyBorder="1" applyAlignment="1">
      <alignment horizontal="center" vertical="center" wrapText="1"/>
      <protection/>
    </xf>
    <xf numFmtId="49" fontId="18" fillId="34" borderId="19" xfId="55" applyNumberFormat="1" applyFont="1" applyFill="1" applyBorder="1" applyAlignment="1">
      <alignment horizontal="center" vertical="center" wrapText="1"/>
      <protection/>
    </xf>
    <xf numFmtId="49" fontId="18" fillId="34" borderId="18" xfId="55" applyNumberFormat="1" applyFont="1" applyFill="1" applyBorder="1" applyAlignment="1">
      <alignment horizontal="center" vertical="center" wrapText="1"/>
      <protection/>
    </xf>
    <xf numFmtId="49" fontId="18" fillId="34" borderId="11" xfId="55" applyNumberFormat="1" applyFont="1" applyFill="1" applyBorder="1" applyAlignment="1">
      <alignment horizontal="center" vertical="center" wrapText="1"/>
      <protection/>
    </xf>
    <xf numFmtId="49" fontId="18" fillId="34" borderId="12" xfId="55" applyNumberFormat="1" applyFont="1" applyFill="1" applyBorder="1" applyAlignment="1">
      <alignment horizontal="center" vertical="center" wrapText="1"/>
      <protection/>
    </xf>
    <xf numFmtId="49" fontId="18" fillId="34" borderId="14" xfId="55" applyNumberFormat="1" applyFont="1" applyFill="1" applyBorder="1" applyAlignment="1">
      <alignment horizontal="center" vertical="center" wrapText="1"/>
      <protection/>
    </xf>
    <xf numFmtId="49" fontId="18" fillId="34" borderId="17" xfId="55" applyNumberFormat="1" applyFont="1" applyFill="1" applyBorder="1" applyAlignment="1">
      <alignment horizontal="center" vertical="center" wrapText="1"/>
      <protection/>
    </xf>
    <xf numFmtId="0" fontId="8" fillId="43" borderId="39" xfId="0" applyFont="1" applyFill="1" applyBorder="1" applyAlignment="1">
      <alignment horizontal="center"/>
    </xf>
    <xf numFmtId="0" fontId="8" fillId="43" borderId="15" xfId="0" applyFont="1" applyFill="1" applyBorder="1" applyAlignment="1">
      <alignment horizontal="center"/>
    </xf>
    <xf numFmtId="17" fontId="8" fillId="43" borderId="51" xfId="0" applyNumberFormat="1" applyFont="1" applyFill="1" applyBorder="1" applyAlignment="1" quotePrefix="1">
      <alignment horizontal="center"/>
    </xf>
    <xf numFmtId="17" fontId="8" fillId="43" borderId="37" xfId="0" applyNumberFormat="1" applyFont="1" applyFill="1" applyBorder="1" applyAlignment="1">
      <alignment horizontal="center"/>
    </xf>
    <xf numFmtId="3" fontId="3" fillId="16" borderId="16" xfId="0" applyNumberFormat="1" applyFont="1" applyFill="1" applyBorder="1" applyAlignment="1">
      <alignment horizontal="center"/>
    </xf>
    <xf numFmtId="3" fontId="3" fillId="16" borderId="0" xfId="0" applyNumberFormat="1" applyFont="1" applyFill="1" applyBorder="1" applyAlignment="1">
      <alignment horizontal="center"/>
    </xf>
    <xf numFmtId="3" fontId="3" fillId="16" borderId="15" xfId="0" applyNumberFormat="1" applyFont="1" applyFill="1" applyBorder="1" applyAlignment="1">
      <alignment horizontal="center"/>
    </xf>
    <xf numFmtId="17" fontId="8" fillId="43" borderId="51" xfId="0" applyNumberFormat="1" applyFont="1" applyFill="1" applyBorder="1" applyAlignment="1">
      <alignment horizontal="center"/>
    </xf>
    <xf numFmtId="1" fontId="8" fillId="43" borderId="51" xfId="0" applyNumberFormat="1" applyFont="1" applyFill="1" applyBorder="1" applyAlignment="1">
      <alignment horizontal="center" vertical="center"/>
    </xf>
    <xf numFmtId="1" fontId="8" fillId="43" borderId="37" xfId="0" applyNumberFormat="1" applyFont="1" applyFill="1" applyBorder="1" applyAlignment="1">
      <alignment horizontal="center" vertical="center"/>
    </xf>
    <xf numFmtId="0" fontId="8" fillId="43" borderId="11" xfId="0" applyNumberFormat="1" applyFont="1" applyFill="1" applyBorder="1" applyAlignment="1">
      <alignment horizontal="center" vertical="center"/>
    </xf>
    <xf numFmtId="0" fontId="8" fillId="43" borderId="24" xfId="0" applyNumberFormat="1" applyFont="1" applyFill="1" applyBorder="1" applyAlignment="1">
      <alignment horizontal="center" vertical="center"/>
    </xf>
    <xf numFmtId="0" fontId="126" fillId="37" borderId="0" xfId="0" applyFont="1" applyFill="1" applyAlignment="1">
      <alignment horizontal="center"/>
    </xf>
    <xf numFmtId="49" fontId="18" fillId="16" borderId="0" xfId="55" applyNumberFormat="1" applyFont="1" applyFill="1" applyBorder="1" applyAlignment="1">
      <alignment horizontal="center" vertical="center" wrapText="1"/>
      <protection/>
    </xf>
    <xf numFmtId="49" fontId="8" fillId="43" borderId="51" xfId="0" applyNumberFormat="1" applyFont="1" applyFill="1" applyBorder="1" applyAlignment="1">
      <alignment horizontal="center" vertical="center"/>
    </xf>
    <xf numFmtId="49" fontId="8" fillId="43" borderId="37" xfId="0" applyNumberFormat="1" applyFont="1" applyFill="1" applyBorder="1" applyAlignment="1">
      <alignment horizontal="center" vertical="center"/>
    </xf>
    <xf numFmtId="49" fontId="8" fillId="43" borderId="27" xfId="0" applyNumberFormat="1" applyFont="1" applyFill="1" applyBorder="1" applyAlignment="1">
      <alignment horizontal="center" vertical="center"/>
    </xf>
    <xf numFmtId="0" fontId="0" fillId="0" borderId="37" xfId="0" applyBorder="1" applyAlignment="1">
      <alignment/>
    </xf>
    <xf numFmtId="3" fontId="3" fillId="16" borderId="0" xfId="0" applyNumberFormat="1" applyFont="1" applyFill="1" applyAlignment="1">
      <alignment horizontal="center"/>
    </xf>
    <xf numFmtId="0" fontId="12" fillId="16" borderId="51" xfId="0" applyFont="1" applyFill="1" applyBorder="1" applyAlignment="1">
      <alignment horizontal="center"/>
    </xf>
    <xf numFmtId="0" fontId="12" fillId="16" borderId="37" xfId="0" applyFont="1" applyFill="1" applyBorder="1" applyAlignment="1">
      <alignment horizontal="center"/>
    </xf>
    <xf numFmtId="0" fontId="12" fillId="16" borderId="27" xfId="0" applyFont="1" applyFill="1" applyBorder="1" applyAlignment="1">
      <alignment horizontal="center"/>
    </xf>
    <xf numFmtId="0" fontId="132" fillId="2" borderId="0" xfId="0" applyFont="1" applyFill="1" applyAlignment="1">
      <alignment horizontal="center"/>
    </xf>
    <xf numFmtId="0" fontId="0" fillId="16" borderId="16" xfId="0" applyFont="1" applyFill="1" applyBorder="1" applyAlignment="1">
      <alignment horizontal="center"/>
    </xf>
    <xf numFmtId="0" fontId="0" fillId="16" borderId="0" xfId="0" applyFont="1" applyFill="1" applyBorder="1" applyAlignment="1">
      <alignment horizontal="center"/>
    </xf>
    <xf numFmtId="0" fontId="0" fillId="16" borderId="15" xfId="0" applyFont="1" applyFill="1" applyBorder="1" applyAlignment="1">
      <alignment horizontal="center"/>
    </xf>
    <xf numFmtId="0" fontId="8" fillId="16" borderId="16" xfId="0" applyFont="1" applyFill="1" applyBorder="1" applyAlignment="1">
      <alignment horizontal="center"/>
    </xf>
    <xf numFmtId="0" fontId="8" fillId="16" borderId="0" xfId="0" applyFont="1" applyFill="1" applyBorder="1" applyAlignment="1">
      <alignment horizontal="center"/>
    </xf>
    <xf numFmtId="0" fontId="8" fillId="16" borderId="15" xfId="0" applyFont="1" applyFill="1" applyBorder="1" applyAlignment="1">
      <alignment horizontal="center"/>
    </xf>
    <xf numFmtId="0" fontId="133" fillId="2" borderId="0" xfId="0" applyFont="1" applyFill="1" applyAlignment="1">
      <alignment horizontal="center"/>
    </xf>
    <xf numFmtId="0" fontId="26" fillId="16" borderId="14" xfId="0" applyFont="1" applyFill="1" applyBorder="1" applyAlignment="1">
      <alignment horizontal="center"/>
    </xf>
    <xf numFmtId="0" fontId="26" fillId="16" borderId="21" xfId="0" applyFont="1" applyFill="1" applyBorder="1" applyAlignment="1">
      <alignment horizontal="center"/>
    </xf>
    <xf numFmtId="0" fontId="26" fillId="16" borderId="20" xfId="0" applyFont="1" applyFill="1" applyBorder="1" applyAlignment="1">
      <alignment horizontal="center"/>
    </xf>
    <xf numFmtId="0" fontId="41" fillId="16" borderId="14" xfId="0" applyFont="1" applyFill="1" applyBorder="1" applyAlignment="1">
      <alignment horizontal="center"/>
    </xf>
    <xf numFmtId="0" fontId="41" fillId="16" borderId="21" xfId="0" applyFont="1" applyFill="1" applyBorder="1" applyAlignment="1">
      <alignment horizontal="center"/>
    </xf>
    <xf numFmtId="0" fontId="41" fillId="16" borderId="20" xfId="0" applyFont="1" applyFill="1" applyBorder="1" applyAlignment="1">
      <alignment horizontal="center"/>
    </xf>
    <xf numFmtId="0" fontId="134" fillId="2" borderId="0" xfId="0" applyFont="1" applyFill="1" applyAlignment="1">
      <alignment horizontal="center"/>
    </xf>
    <xf numFmtId="0" fontId="8" fillId="16" borderId="17" xfId="0" applyFont="1" applyFill="1" applyBorder="1" applyAlignment="1">
      <alignment horizontal="center"/>
    </xf>
    <xf numFmtId="0" fontId="8" fillId="16" borderId="19" xfId="0" applyFont="1" applyFill="1" applyBorder="1" applyAlignment="1">
      <alignment horizontal="center"/>
    </xf>
    <xf numFmtId="0" fontId="0" fillId="16" borderId="17" xfId="0" applyFont="1" applyFill="1" applyBorder="1" applyAlignment="1">
      <alignment horizontal="center"/>
    </xf>
    <xf numFmtId="0" fontId="0" fillId="16" borderId="18" xfId="0" applyFont="1" applyFill="1" applyBorder="1" applyAlignment="1">
      <alignment horizontal="center"/>
    </xf>
    <xf numFmtId="0" fontId="0" fillId="16" borderId="13" xfId="0" applyFont="1" applyFill="1" applyBorder="1" applyAlignment="1">
      <alignment horizontal="center" vertical="center"/>
    </xf>
    <xf numFmtId="0" fontId="0" fillId="16" borderId="31" xfId="0" applyFont="1" applyFill="1" applyBorder="1" applyAlignment="1">
      <alignment horizontal="center" vertical="center"/>
    </xf>
    <xf numFmtId="0" fontId="0" fillId="16" borderId="19" xfId="0" applyFont="1" applyFill="1" applyBorder="1" applyAlignment="1">
      <alignment horizontal="center"/>
    </xf>
    <xf numFmtId="0" fontId="8" fillId="16" borderId="51" xfId="0" applyFont="1" applyFill="1" applyBorder="1" applyAlignment="1">
      <alignment horizontal="center"/>
    </xf>
    <xf numFmtId="0" fontId="8" fillId="16" borderId="37" xfId="0" applyFont="1" applyFill="1" applyBorder="1" applyAlignment="1">
      <alignment horizontal="center"/>
    </xf>
    <xf numFmtId="0" fontId="8" fillId="16" borderId="27" xfId="0" applyFont="1" applyFill="1" applyBorder="1" applyAlignment="1">
      <alignment horizontal="center"/>
    </xf>
    <xf numFmtId="0" fontId="0" fillId="16" borderId="29" xfId="0" applyFont="1" applyFill="1" applyBorder="1" applyAlignment="1">
      <alignment horizontal="center" vertical="center"/>
    </xf>
    <xf numFmtId="0" fontId="0" fillId="16" borderId="22" xfId="0" applyFont="1" applyFill="1" applyBorder="1" applyAlignment="1">
      <alignment horizontal="center" vertical="center"/>
    </xf>
    <xf numFmtId="0" fontId="126" fillId="0" borderId="0" xfId="0" applyFont="1" applyAlignment="1">
      <alignment horizontal="center"/>
    </xf>
    <xf numFmtId="3" fontId="8" fillId="0" borderId="0" xfId="0" applyNumberFormat="1" applyFont="1" applyFill="1" applyBorder="1" applyAlignment="1">
      <alignment horizontal="center"/>
    </xf>
    <xf numFmtId="3" fontId="8" fillId="0" borderId="0" xfId="0" applyNumberFormat="1" applyFont="1" applyBorder="1" applyAlignment="1">
      <alignment horizontal="center"/>
    </xf>
    <xf numFmtId="0" fontId="8" fillId="0" borderId="0" xfId="0" applyFont="1" applyFill="1" applyBorder="1" applyAlignment="1">
      <alignment horizontal="left"/>
    </xf>
    <xf numFmtId="0" fontId="8" fillId="34" borderId="20" xfId="0" applyFont="1" applyFill="1" applyBorder="1" applyAlignment="1">
      <alignment horizontal="center"/>
    </xf>
    <xf numFmtId="0" fontId="8" fillId="34" borderId="15" xfId="0" applyFont="1" applyFill="1" applyBorder="1" applyAlignment="1">
      <alignment horizontal="center"/>
    </xf>
    <xf numFmtId="49" fontId="8" fillId="34" borderId="11" xfId="0" applyNumberFormat="1" applyFont="1" applyFill="1" applyBorder="1" applyAlignment="1">
      <alignment horizontal="center"/>
    </xf>
    <xf numFmtId="49" fontId="8" fillId="34" borderId="24" xfId="0" applyNumberFormat="1" applyFont="1" applyFill="1" applyBorder="1" applyAlignment="1">
      <alignment horizontal="center"/>
    </xf>
    <xf numFmtId="49" fontId="8" fillId="34" borderId="12" xfId="0" applyNumberFormat="1" applyFont="1" applyFill="1" applyBorder="1" applyAlignment="1">
      <alignment horizontal="center"/>
    </xf>
    <xf numFmtId="0" fontId="8" fillId="34" borderId="10" xfId="0" applyNumberFormat="1" applyFont="1" applyFill="1" applyBorder="1" applyAlignment="1">
      <alignment horizontal="center"/>
    </xf>
    <xf numFmtId="1" fontId="8" fillId="34" borderId="10" xfId="0" applyNumberFormat="1" applyFont="1" applyFill="1" applyBorder="1" applyAlignment="1">
      <alignment horizontal="center"/>
    </xf>
    <xf numFmtId="1" fontId="8" fillId="34" borderId="11" xfId="0" applyNumberFormat="1" applyFont="1" applyFill="1" applyBorder="1" applyAlignment="1">
      <alignment horizontal="center"/>
    </xf>
    <xf numFmtId="0" fontId="0" fillId="0" borderId="0" xfId="0" applyFont="1" applyFill="1" applyBorder="1" applyAlignment="1">
      <alignment horizontal="left"/>
    </xf>
    <xf numFmtId="0" fontId="8" fillId="34" borderId="24" xfId="0" applyNumberFormat="1" applyFont="1" applyFill="1" applyBorder="1" applyAlignment="1">
      <alignment horizontal="center"/>
    </xf>
    <xf numFmtId="0" fontId="8" fillId="34" borderId="12" xfId="0" applyNumberFormat="1" applyFont="1" applyFill="1" applyBorder="1" applyAlignment="1">
      <alignment horizontal="center"/>
    </xf>
    <xf numFmtId="0" fontId="8" fillId="0" borderId="0" xfId="0" applyFont="1" applyBorder="1" applyAlignment="1">
      <alignment horizontal="left"/>
    </xf>
    <xf numFmtId="0" fontId="0" fillId="0" borderId="0" xfId="0" applyFont="1" applyBorder="1" applyAlignment="1">
      <alignment horizontal="left"/>
    </xf>
    <xf numFmtId="3" fontId="3" fillId="0" borderId="0" xfId="0" applyNumberFormat="1" applyFont="1" applyAlignment="1">
      <alignment horizontal="center"/>
    </xf>
    <xf numFmtId="0" fontId="0" fillId="34" borderId="15" xfId="0" applyFill="1" applyBorder="1" applyAlignment="1">
      <alignment/>
    </xf>
    <xf numFmtId="49" fontId="8" fillId="34" borderId="10" xfId="0" applyNumberFormat="1" applyFont="1" applyFill="1" applyBorder="1" applyAlignment="1">
      <alignment horizontal="center" vertical="center"/>
    </xf>
    <xf numFmtId="0" fontId="8" fillId="34" borderId="10" xfId="0" applyNumberFormat="1" applyFont="1" applyFill="1" applyBorder="1" applyAlignment="1">
      <alignment horizontal="center" vertical="center"/>
    </xf>
    <xf numFmtId="0" fontId="8" fillId="34" borderId="11" xfId="0" applyNumberFormat="1" applyFont="1" applyFill="1" applyBorder="1" applyAlignment="1">
      <alignment horizontal="center"/>
    </xf>
    <xf numFmtId="0" fontId="0" fillId="10" borderId="33" xfId="0" applyFont="1" applyFill="1" applyBorder="1" applyAlignment="1">
      <alignment horizontal="center" vertical="center"/>
    </xf>
    <xf numFmtId="0" fontId="0" fillId="10" borderId="32" xfId="0" applyFont="1" applyFill="1" applyBorder="1" applyAlignment="1">
      <alignment horizontal="center" vertical="center"/>
    </xf>
    <xf numFmtId="0" fontId="0" fillId="10" borderId="13" xfId="0" applyFont="1" applyFill="1" applyBorder="1" applyAlignment="1">
      <alignment horizontal="center" vertical="center"/>
    </xf>
    <xf numFmtId="0" fontId="0" fillId="10" borderId="31" xfId="0" applyFont="1" applyFill="1" applyBorder="1" applyAlignment="1">
      <alignment horizontal="center" vertical="center"/>
    </xf>
    <xf numFmtId="0" fontId="0" fillId="10" borderId="21" xfId="0" applyFont="1" applyFill="1" applyBorder="1" applyAlignment="1">
      <alignment horizontal="center" vertical="center"/>
    </xf>
    <xf numFmtId="0" fontId="0" fillId="10" borderId="25" xfId="0" applyFont="1" applyFill="1" applyBorder="1" applyAlignment="1">
      <alignment horizontal="center" vertical="center"/>
    </xf>
    <xf numFmtId="0" fontId="8" fillId="0" borderId="0" xfId="0" applyFont="1" applyAlignment="1">
      <alignment horizontal="center"/>
    </xf>
    <xf numFmtId="0" fontId="0" fillId="10" borderId="39" xfId="0" applyFont="1" applyFill="1" applyBorder="1" applyAlignment="1">
      <alignment horizontal="center" vertical="center" wrapText="1"/>
    </xf>
    <xf numFmtId="0" fontId="0" fillId="10" borderId="15" xfId="0" applyFont="1" applyFill="1" applyBorder="1" applyAlignment="1">
      <alignment horizontal="center" vertical="center" wrapText="1"/>
    </xf>
    <xf numFmtId="0" fontId="0" fillId="10" borderId="30" xfId="0" applyFont="1" applyFill="1" applyBorder="1" applyAlignment="1">
      <alignment horizontal="center" vertical="center" wrapText="1"/>
    </xf>
    <xf numFmtId="0" fontId="0" fillId="10" borderId="41" xfId="0" applyFont="1" applyFill="1" applyBorder="1" applyAlignment="1">
      <alignment horizontal="center" vertical="center"/>
    </xf>
    <xf numFmtId="0" fontId="0" fillId="10" borderId="29" xfId="0" applyFont="1" applyFill="1" applyBorder="1" applyAlignment="1">
      <alignment horizontal="center" vertical="center" wrapText="1"/>
    </xf>
    <xf numFmtId="0" fontId="0" fillId="10" borderId="22" xfId="0" applyFont="1" applyFill="1" applyBorder="1" applyAlignment="1">
      <alignment horizontal="center" vertical="center" wrapText="1"/>
    </xf>
    <xf numFmtId="0" fontId="0" fillId="10" borderId="31" xfId="0" applyFont="1" applyFill="1" applyBorder="1" applyAlignment="1">
      <alignment horizontal="center" vertical="center" wrapText="1"/>
    </xf>
    <xf numFmtId="0" fontId="0" fillId="10" borderId="51" xfId="0" applyFont="1" applyFill="1" applyBorder="1" applyAlignment="1">
      <alignment horizontal="center" vertical="center"/>
    </xf>
    <xf numFmtId="0" fontId="0" fillId="10" borderId="37" xfId="0" applyFont="1" applyFill="1" applyBorder="1" applyAlignment="1">
      <alignment horizontal="center" vertical="center"/>
    </xf>
    <xf numFmtId="0" fontId="0" fillId="0" borderId="25" xfId="0" applyFont="1" applyBorder="1" applyAlignment="1">
      <alignment horizontal="center"/>
    </xf>
    <xf numFmtId="0" fontId="126" fillId="2" borderId="0" xfId="0" applyFont="1" applyFill="1" applyAlignment="1">
      <alignment horizontal="center"/>
    </xf>
    <xf numFmtId="0" fontId="8" fillId="13" borderId="41" xfId="0" applyFont="1" applyFill="1" applyBorder="1" applyAlignment="1">
      <alignment horizontal="center"/>
    </xf>
    <xf numFmtId="0" fontId="0" fillId="16" borderId="43" xfId="0" applyFont="1" applyFill="1" applyBorder="1" applyAlignment="1">
      <alignment horizontal="left" vertical="center" wrapText="1"/>
    </xf>
    <xf numFmtId="0" fontId="8" fillId="13" borderId="39" xfId="0" applyFont="1" applyFill="1" applyBorder="1" applyAlignment="1">
      <alignment horizontal="center" vertical="center" wrapText="1"/>
    </xf>
    <xf numFmtId="0" fontId="8" fillId="13" borderId="30" xfId="0" applyFont="1" applyFill="1" applyBorder="1" applyAlignment="1">
      <alignment horizontal="center" vertical="center" wrapText="1"/>
    </xf>
    <xf numFmtId="0" fontId="8" fillId="13" borderId="29" xfId="0" applyFont="1" applyFill="1" applyBorder="1" applyAlignment="1">
      <alignment horizontal="center" vertical="center" wrapText="1"/>
    </xf>
    <xf numFmtId="0" fontId="8" fillId="13" borderId="31" xfId="0" applyFont="1" applyFill="1" applyBorder="1" applyAlignment="1">
      <alignment horizontal="center" vertical="center" wrapText="1"/>
    </xf>
    <xf numFmtId="0" fontId="8" fillId="13" borderId="33" xfId="0" applyFont="1" applyFill="1" applyBorder="1" applyAlignment="1">
      <alignment horizontal="center"/>
    </xf>
    <xf numFmtId="0" fontId="8" fillId="13" borderId="32" xfId="0" applyFont="1" applyFill="1" applyBorder="1" applyAlignment="1">
      <alignment horizontal="center"/>
    </xf>
    <xf numFmtId="0" fontId="5" fillId="37" borderId="0" xfId="0" applyFont="1" applyFill="1" applyAlignment="1">
      <alignment horizontal="center"/>
    </xf>
    <xf numFmtId="2" fontId="8" fillId="45" borderId="57" xfId="70" applyNumberFormat="1" applyFont="1" applyFill="1" applyBorder="1" applyAlignment="1">
      <alignment horizontal="center" vertical="center"/>
    </xf>
    <xf numFmtId="2" fontId="8" fillId="45" borderId="68" xfId="70" applyNumberFormat="1" applyFont="1" applyFill="1" applyBorder="1" applyAlignment="1">
      <alignment horizontal="center" vertical="center"/>
    </xf>
    <xf numFmtId="2" fontId="8" fillId="45" borderId="57" xfId="70" applyNumberFormat="1" applyFont="1" applyFill="1" applyBorder="1" applyAlignment="1" applyProtection="1">
      <alignment horizontal="center" vertical="center"/>
      <protection/>
    </xf>
    <xf numFmtId="2" fontId="8" fillId="45" borderId="68" xfId="70" applyNumberFormat="1" applyFont="1" applyFill="1" applyBorder="1" applyAlignment="1" applyProtection="1">
      <alignment horizontal="center" vertical="center"/>
      <protection/>
    </xf>
    <xf numFmtId="0" fontId="8" fillId="45" borderId="70" xfId="0" applyFont="1" applyFill="1" applyBorder="1" applyAlignment="1">
      <alignment horizontal="center" vertical="center"/>
    </xf>
    <xf numFmtId="0" fontId="8" fillId="45" borderId="41" xfId="0" applyFont="1" applyFill="1" applyBorder="1" applyAlignment="1">
      <alignment horizontal="center" vertical="center"/>
    </xf>
    <xf numFmtId="0" fontId="8" fillId="45" borderId="71" xfId="0" applyFont="1" applyFill="1" applyBorder="1" applyAlignment="1">
      <alignment horizontal="center" vertical="center"/>
    </xf>
    <xf numFmtId="0" fontId="8" fillId="45" borderId="0" xfId="0" applyFont="1" applyFill="1" applyBorder="1" applyAlignment="1">
      <alignment horizontal="center" vertical="center"/>
    </xf>
    <xf numFmtId="3" fontId="3" fillId="16" borderId="0" xfId="0" applyNumberFormat="1" applyFont="1" applyFill="1" applyBorder="1" applyAlignment="1">
      <alignment horizontal="center" vertical="center"/>
    </xf>
    <xf numFmtId="0" fontId="3" fillId="16" borderId="25" xfId="0" applyFont="1" applyFill="1" applyBorder="1" applyAlignment="1">
      <alignment horizontal="center" vertical="center"/>
    </xf>
    <xf numFmtId="0" fontId="8" fillId="45" borderId="25" xfId="0" applyFont="1" applyFill="1" applyBorder="1" applyAlignment="1">
      <alignment horizontal="center" vertical="center"/>
    </xf>
    <xf numFmtId="0" fontId="8" fillId="45" borderId="72" xfId="0" applyFont="1" applyFill="1" applyBorder="1" applyAlignment="1">
      <alignment horizontal="center" vertical="center"/>
    </xf>
    <xf numFmtId="0" fontId="8" fillId="45" borderId="43" xfId="0" applyFont="1" applyFill="1" applyBorder="1" applyAlignment="1">
      <alignment horizontal="center" vertical="center"/>
    </xf>
    <xf numFmtId="0" fontId="8" fillId="45" borderId="73" xfId="0" applyFont="1" applyFill="1" applyBorder="1" applyAlignment="1">
      <alignment horizontal="center" vertical="center"/>
    </xf>
    <xf numFmtId="0" fontId="0" fillId="45" borderId="74" xfId="0" applyFont="1" applyFill="1" applyBorder="1" applyAlignment="1">
      <alignment horizontal="center" vertical="center"/>
    </xf>
    <xf numFmtId="0" fontId="0" fillId="45" borderId="19" xfId="0" applyFont="1" applyFill="1" applyBorder="1" applyAlignment="1">
      <alignment horizontal="center" vertical="center"/>
    </xf>
    <xf numFmtId="0" fontId="0" fillId="45" borderId="49" xfId="0" applyFont="1" applyFill="1" applyBorder="1" applyAlignment="1">
      <alignment horizontal="center" vertical="center"/>
    </xf>
    <xf numFmtId="0" fontId="29" fillId="0" borderId="20" xfId="51" applyFont="1" applyBorder="1" applyAlignment="1">
      <alignment horizontal="center" vertical="center" wrapText="1"/>
      <protection/>
    </xf>
    <xf numFmtId="0" fontId="29" fillId="0" borderId="15" xfId="51" applyFont="1" applyBorder="1" applyAlignment="1">
      <alignment horizontal="center" vertical="center" wrapText="1"/>
      <protection/>
    </xf>
    <xf numFmtId="0" fontId="29" fillId="0" borderId="18" xfId="51" applyFont="1" applyBorder="1" applyAlignment="1">
      <alignment horizontal="center" vertical="center" wrapText="1"/>
      <protection/>
    </xf>
    <xf numFmtId="167" fontId="8" fillId="0" borderId="20" xfId="70" applyNumberFormat="1" applyFont="1" applyFill="1" applyBorder="1" applyAlignment="1" applyProtection="1">
      <alignment horizontal="center" vertical="center"/>
      <protection/>
    </xf>
    <xf numFmtId="167" fontId="8" fillId="0" borderId="15" xfId="70" applyNumberFormat="1" applyFont="1" applyFill="1" applyBorder="1" applyAlignment="1" applyProtection="1">
      <alignment horizontal="center" vertical="center"/>
      <protection/>
    </xf>
    <xf numFmtId="167" fontId="8" fillId="0" borderId="18" xfId="70" applyNumberFormat="1" applyFont="1" applyFill="1" applyBorder="1" applyAlignment="1" applyProtection="1">
      <alignment horizontal="center" vertical="center"/>
      <protection/>
    </xf>
    <xf numFmtId="167" fontId="8" fillId="36" borderId="20" xfId="70" applyNumberFormat="1" applyFont="1" applyFill="1" applyBorder="1" applyAlignment="1" applyProtection="1">
      <alignment horizontal="center" vertical="center"/>
      <protection/>
    </xf>
    <xf numFmtId="167" fontId="8" fillId="36" borderId="15" xfId="70" applyNumberFormat="1" applyFont="1" applyFill="1" applyBorder="1" applyAlignment="1" applyProtection="1">
      <alignment horizontal="center" vertical="center"/>
      <protection/>
    </xf>
    <xf numFmtId="167" fontId="8" fillId="36" borderId="18" xfId="70" applyNumberFormat="1" applyFont="1" applyFill="1" applyBorder="1" applyAlignment="1" applyProtection="1">
      <alignment horizontal="center" vertical="center"/>
      <protection/>
    </xf>
    <xf numFmtId="0" fontId="29" fillId="36" borderId="15" xfId="51" applyFont="1" applyFill="1" applyBorder="1" applyAlignment="1">
      <alignment horizontal="center" vertical="center" wrapText="1"/>
      <protection/>
    </xf>
    <xf numFmtId="0" fontId="29" fillId="36" borderId="30" xfId="51" applyFont="1" applyFill="1" applyBorder="1" applyAlignment="1">
      <alignment horizontal="center" vertical="center" wrapText="1"/>
      <protection/>
    </xf>
    <xf numFmtId="175" fontId="8" fillId="45" borderId="73" xfId="70" applyNumberFormat="1" applyFont="1" applyFill="1" applyBorder="1" applyAlignment="1" applyProtection="1">
      <alignment horizontal="center" vertical="center"/>
      <protection/>
    </xf>
    <xf numFmtId="175" fontId="8" fillId="45" borderId="68" xfId="70" applyNumberFormat="1" applyFont="1" applyFill="1" applyBorder="1" applyAlignment="1" applyProtection="1">
      <alignment horizontal="center" vertical="center"/>
      <protection/>
    </xf>
    <xf numFmtId="178" fontId="8" fillId="45" borderId="75" xfId="70" applyNumberFormat="1" applyFont="1" applyFill="1" applyBorder="1" applyAlignment="1">
      <alignment horizontal="center" vertical="center"/>
    </xf>
    <xf numFmtId="178" fontId="8" fillId="45" borderId="54" xfId="70" applyNumberFormat="1" applyFont="1" applyFill="1" applyBorder="1" applyAlignment="1">
      <alignment horizontal="center" vertical="center"/>
    </xf>
    <xf numFmtId="178" fontId="8" fillId="45" borderId="29" xfId="70" applyNumberFormat="1" applyFont="1" applyFill="1" applyBorder="1" applyAlignment="1">
      <alignment horizontal="center" vertical="center"/>
    </xf>
    <xf numFmtId="178" fontId="8" fillId="45" borderId="31" xfId="70" applyNumberFormat="1" applyFont="1" applyFill="1" applyBorder="1" applyAlignment="1">
      <alignment horizontal="center" vertical="center"/>
    </xf>
    <xf numFmtId="175" fontId="8" fillId="45" borderId="76" xfId="70" applyNumberFormat="1" applyFont="1" applyFill="1" applyBorder="1" applyAlignment="1" applyProtection="1">
      <alignment horizontal="center" vertical="center"/>
      <protection/>
    </xf>
    <xf numFmtId="175" fontId="8" fillId="45" borderId="55" xfId="70" applyNumberFormat="1" applyFont="1" applyFill="1" applyBorder="1" applyAlignment="1" applyProtection="1">
      <alignment horizontal="center" vertical="center"/>
      <protection/>
    </xf>
    <xf numFmtId="178" fontId="8" fillId="45" borderId="39" xfId="70" applyNumberFormat="1" applyFont="1" applyFill="1" applyBorder="1" applyAlignment="1">
      <alignment horizontal="center" vertical="center"/>
    </xf>
    <xf numFmtId="178" fontId="8" fillId="45" borderId="30" xfId="70" applyNumberFormat="1" applyFont="1" applyFill="1" applyBorder="1" applyAlignment="1">
      <alignment horizontal="center" vertical="center"/>
    </xf>
    <xf numFmtId="173" fontId="8" fillId="45" borderId="29" xfId="70" applyNumberFormat="1" applyFont="1" applyFill="1" applyBorder="1" applyAlignment="1" applyProtection="1">
      <alignment horizontal="center" vertical="center"/>
      <protection/>
    </xf>
    <xf numFmtId="173" fontId="8" fillId="45" borderId="31" xfId="70" applyNumberFormat="1" applyFont="1" applyFill="1" applyBorder="1" applyAlignment="1" applyProtection="1">
      <alignment horizontal="center" vertical="center"/>
      <protection/>
    </xf>
    <xf numFmtId="0" fontId="5" fillId="37" borderId="0" xfId="0" applyFont="1" applyFill="1" applyBorder="1" applyAlignment="1">
      <alignment horizontal="center"/>
    </xf>
    <xf numFmtId="0" fontId="8" fillId="0" borderId="20" xfId="0" applyFont="1" applyBorder="1" applyAlignment="1">
      <alignment horizontal="center" vertical="center"/>
    </xf>
    <xf numFmtId="0" fontId="8" fillId="0" borderId="15" xfId="0" applyFont="1" applyBorder="1" applyAlignment="1">
      <alignment horizontal="center" vertical="center"/>
    </xf>
    <xf numFmtId="0" fontId="8" fillId="0" borderId="18" xfId="0" applyFont="1" applyBorder="1" applyAlignment="1">
      <alignment horizontal="center" vertical="center"/>
    </xf>
    <xf numFmtId="0" fontId="29" fillId="0" borderId="20" xfId="51" applyFont="1" applyBorder="1" applyAlignment="1">
      <alignment horizontal="center" vertical="center"/>
      <protection/>
    </xf>
    <xf numFmtId="0" fontId="29" fillId="0" borderId="15" xfId="51" applyFont="1" applyBorder="1" applyAlignment="1">
      <alignment horizontal="center" vertical="center"/>
      <protection/>
    </xf>
    <xf numFmtId="0" fontId="29" fillId="0" borderId="30" xfId="51" applyFont="1" applyBorder="1" applyAlignment="1">
      <alignment horizontal="center" vertical="center"/>
      <protection/>
    </xf>
    <xf numFmtId="0" fontId="0" fillId="45" borderId="57" xfId="0" applyFont="1" applyFill="1" applyBorder="1" applyAlignment="1">
      <alignment horizontal="center" vertical="center"/>
    </xf>
    <xf numFmtId="0" fontId="0" fillId="45" borderId="25" xfId="0" applyFont="1" applyFill="1" applyBorder="1" applyAlignment="1">
      <alignment horizontal="center" vertical="center"/>
    </xf>
    <xf numFmtId="0" fontId="0" fillId="45" borderId="68" xfId="0" applyFont="1" applyFill="1" applyBorder="1" applyAlignment="1">
      <alignment horizontal="center" vertical="center"/>
    </xf>
    <xf numFmtId="178" fontId="0" fillId="45" borderId="75" xfId="70" applyNumberFormat="1" applyFont="1" applyFill="1" applyBorder="1" applyAlignment="1">
      <alignment horizontal="center" vertical="center"/>
    </xf>
    <xf numFmtId="178" fontId="0" fillId="45" borderId="54" xfId="70" applyNumberFormat="1" applyFont="1" applyFill="1" applyBorder="1" applyAlignment="1">
      <alignment horizontal="center" vertical="center"/>
    </xf>
    <xf numFmtId="175" fontId="8" fillId="45" borderId="43" xfId="70" applyNumberFormat="1" applyFont="1" applyFill="1" applyBorder="1" applyAlignment="1" applyProtection="1">
      <alignment horizontal="center" vertical="center"/>
      <protection/>
    </xf>
    <xf numFmtId="175" fontId="8" fillId="45" borderId="25" xfId="70" applyNumberFormat="1" applyFont="1" applyFill="1" applyBorder="1" applyAlignment="1" applyProtection="1">
      <alignment horizontal="center" vertical="center"/>
      <protection/>
    </xf>
    <xf numFmtId="0" fontId="5" fillId="0" borderId="0" xfId="0" applyFont="1" applyFill="1" applyAlignment="1">
      <alignment horizontal="center"/>
    </xf>
    <xf numFmtId="0" fontId="3" fillId="0" borderId="0" xfId="52" applyFont="1" applyAlignment="1">
      <alignment horizontal="center"/>
      <protection/>
    </xf>
    <xf numFmtId="0" fontId="8" fillId="0" borderId="0" xfId="52" applyFont="1" applyAlignment="1">
      <alignment horizontal="center"/>
      <protection/>
    </xf>
    <xf numFmtId="0" fontId="18" fillId="0" borderId="0" xfId="0" applyFont="1" applyFill="1" applyBorder="1" applyAlignment="1">
      <alignment horizontal="center"/>
    </xf>
    <xf numFmtId="0" fontId="8" fillId="0" borderId="0" xfId="0" applyFont="1" applyFill="1" applyAlignment="1">
      <alignment horizontal="center"/>
    </xf>
    <xf numFmtId="0" fontId="31" fillId="43" borderId="21" xfId="0" applyFont="1" applyFill="1" applyBorder="1" applyAlignment="1">
      <alignment horizontal="center" vertical="center"/>
    </xf>
    <xf numFmtId="49" fontId="8" fillId="35" borderId="11" xfId="0" applyNumberFormat="1" applyFont="1" applyFill="1" applyBorder="1" applyAlignment="1">
      <alignment horizontal="center"/>
    </xf>
    <xf numFmtId="49" fontId="8" fillId="35" borderId="24" xfId="0" applyNumberFormat="1" applyFont="1" applyFill="1" applyBorder="1" applyAlignment="1">
      <alignment horizontal="center"/>
    </xf>
    <xf numFmtId="0" fontId="31" fillId="43" borderId="12" xfId="0" applyFont="1" applyFill="1" applyBorder="1" applyAlignment="1">
      <alignment horizontal="center" vertical="center"/>
    </xf>
    <xf numFmtId="0" fontId="31" fillId="43" borderId="10" xfId="0" applyFont="1" applyFill="1" applyBorder="1" applyAlignment="1">
      <alignment horizontal="center" vertical="center"/>
    </xf>
    <xf numFmtId="0" fontId="31" fillId="43" borderId="11" xfId="0" applyFont="1" applyFill="1" applyBorder="1" applyAlignment="1">
      <alignment horizontal="center" vertical="center"/>
    </xf>
    <xf numFmtId="0" fontId="8" fillId="35" borderId="12" xfId="0" applyFont="1" applyFill="1" applyBorder="1" applyAlignment="1">
      <alignment horizontal="center" vertical="center"/>
    </xf>
    <xf numFmtId="49" fontId="8" fillId="35" borderId="10" xfId="0" applyNumberFormat="1" applyFont="1" applyFill="1" applyBorder="1" applyAlignment="1">
      <alignment horizontal="center"/>
    </xf>
    <xf numFmtId="49" fontId="8" fillId="35" borderId="12" xfId="0" applyNumberFormat="1" applyFont="1" applyFill="1" applyBorder="1" applyAlignment="1">
      <alignment horizontal="center"/>
    </xf>
  </cellXfs>
  <cellStyles count="5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Hyperlink_Ranking do Agronegócio-Valores" xfId="45"/>
    <cellStyle name="Incorreto" xfId="46"/>
    <cellStyle name="Currency" xfId="47"/>
    <cellStyle name="Currency [0]" xfId="48"/>
    <cellStyle name="Neutra" xfId="49"/>
    <cellStyle name="Normal 2_Produção Brasiliera de Café-2015-2014-2013" xfId="50"/>
    <cellStyle name="Normal 2_Produção CONAB - 1999 a 2014" xfId="51"/>
    <cellStyle name="Normal_Balança Janeiro-02" xfId="52"/>
    <cellStyle name="Normal_Estoques privados e público-CONAB-04-13" xfId="53"/>
    <cellStyle name="Normal_Informe Café - Julho-02" xfId="54"/>
    <cellStyle name="Normal_Plan1_1" xfId="55"/>
    <cellStyle name="Normal_Ranking do Agronegócio-Valores" xfId="56"/>
    <cellStyle name="Nota" xfId="57"/>
    <cellStyle name="Percent" xfId="58"/>
    <cellStyle name="Saída" xfId="59"/>
    <cellStyle name="Comma [0]" xfId="60"/>
    <cellStyle name="Separador de milhares_Estoques privados e público-CONAB-04-13" xfId="61"/>
    <cellStyle name="Texto de Aviso" xfId="62"/>
    <cellStyle name="Texto Explicativo" xfId="63"/>
    <cellStyle name="Título" xfId="64"/>
    <cellStyle name="Título 1" xfId="65"/>
    <cellStyle name="Título 2" xfId="66"/>
    <cellStyle name="Título 3" xfId="67"/>
    <cellStyle name="Título 4" xfId="68"/>
    <cellStyle name="Total" xfId="69"/>
    <cellStyle name="Comma" xfId="70"/>
    <cellStyle name="Vírgula 2" xfId="71"/>
  </cellStyles>
  <dxfs count="2">
    <dxf>
      <font>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10.xml.rels><?xml version="1.0" encoding="utf-8" standalone="yes"?><Relationships xmlns="http://schemas.openxmlformats.org/package/2006/relationships"><Relationship Id="rId1" Type="http://schemas.openxmlformats.org/officeDocument/2006/relationships/image" Target="../media/image14.jpeg" /></Relationships>
</file>

<file path=xl/charts/_rels/chart11.xml.rels><?xml version="1.0" encoding="utf-8" standalone="yes"?><Relationships xmlns="http://schemas.openxmlformats.org/package/2006/relationships"><Relationship Id="rId1" Type="http://schemas.openxmlformats.org/officeDocument/2006/relationships/image" Target="../media/image15.jpeg" /></Relationships>
</file>

<file path=xl/charts/_rels/chart12.xml.rels><?xml version="1.0" encoding="utf-8" standalone="yes"?><Relationships xmlns="http://schemas.openxmlformats.org/package/2006/relationships"><Relationship Id="rId1" Type="http://schemas.openxmlformats.org/officeDocument/2006/relationships/image" Target="../media/image16.jpeg" /></Relationships>
</file>

<file path=xl/charts/_rels/chart13.xml.rels><?xml version="1.0" encoding="utf-8" standalone="yes"?><Relationships xmlns="http://schemas.openxmlformats.org/package/2006/relationships"><Relationship Id="rId1" Type="http://schemas.openxmlformats.org/officeDocument/2006/relationships/image" Target="../media/image17.jpeg" /></Relationships>
</file>

<file path=xl/charts/_rels/chart14.xml.rels><?xml version="1.0" encoding="utf-8" standalone="yes"?><Relationships xmlns="http://schemas.openxmlformats.org/package/2006/relationships"><Relationship Id="rId1" Type="http://schemas.openxmlformats.org/officeDocument/2006/relationships/image" Target="../media/image18.jpeg"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5.xml.rels><?xml version="1.0" encoding="utf-8" standalone="yes"?><Relationships xmlns="http://schemas.openxmlformats.org/package/2006/relationships"><Relationship Id="rId1" Type="http://schemas.openxmlformats.org/officeDocument/2006/relationships/image" Target="../media/image9.jpeg" /></Relationships>
</file>

<file path=xl/charts/_rels/chart6.xml.rels><?xml version="1.0" encoding="utf-8" standalone="yes"?><Relationships xmlns="http://schemas.openxmlformats.org/package/2006/relationships"><Relationship Id="rId1" Type="http://schemas.openxmlformats.org/officeDocument/2006/relationships/image" Target="../media/image10.jpeg" /></Relationships>
</file>

<file path=xl/charts/_rels/chart7.xml.rels><?xml version="1.0" encoding="utf-8" standalone="yes"?><Relationships xmlns="http://schemas.openxmlformats.org/package/2006/relationships"><Relationship Id="rId1" Type="http://schemas.openxmlformats.org/officeDocument/2006/relationships/image" Target="../media/image11.jpeg" /></Relationships>
</file>

<file path=xl/charts/_rels/chart8.xml.rels><?xml version="1.0" encoding="utf-8" standalone="yes"?><Relationships xmlns="http://schemas.openxmlformats.org/package/2006/relationships"><Relationship Id="rId1" Type="http://schemas.openxmlformats.org/officeDocument/2006/relationships/image" Target="../media/image12.jpeg" /></Relationships>
</file>

<file path=xl/charts/_rels/chart9.xml.rels><?xml version="1.0" encoding="utf-8" standalone="yes"?><Relationships xmlns="http://schemas.openxmlformats.org/package/2006/relationships"><Relationship Id="rId1" Type="http://schemas.openxmlformats.org/officeDocument/2006/relationships/image" Target="../media/image13.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11025"/>
          <c:w val="0.97625"/>
          <c:h val="0.73825"/>
        </c:manualLayout>
      </c:layout>
      <c:barChart>
        <c:barDir val="col"/>
        <c:grouping val="clustered"/>
        <c:varyColors val="0"/>
        <c:ser>
          <c:idx val="0"/>
          <c:order val="0"/>
          <c:tx>
            <c:strRef>
              <c:f>Plan1!$A$6</c:f>
              <c:strCache>
                <c:ptCount val="1"/>
                <c:pt idx="0">
                  <c:v>ARÁBICA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numRef>
              <c:f>Plan1!$B$5:$Q$5</c:f>
              <c:numCach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Plan1!$B$6:$Q$6</c:f>
              <c:numCache>
                <c:ptCount val="16"/>
                <c:pt idx="0">
                  <c:v>22.5</c:v>
                </c:pt>
                <c:pt idx="1">
                  <c:v>37.9</c:v>
                </c:pt>
                <c:pt idx="2">
                  <c:v>20.1</c:v>
                </c:pt>
                <c:pt idx="3">
                  <c:v>31.7</c:v>
                </c:pt>
                <c:pt idx="4">
                  <c:v>23.8</c:v>
                </c:pt>
                <c:pt idx="5">
                  <c:v>33</c:v>
                </c:pt>
                <c:pt idx="6">
                  <c:v>25.1</c:v>
                </c:pt>
                <c:pt idx="7">
                  <c:v>35.5</c:v>
                </c:pt>
                <c:pt idx="8">
                  <c:v>28.8</c:v>
                </c:pt>
                <c:pt idx="9">
                  <c:v>36.8</c:v>
                </c:pt>
                <c:pt idx="10">
                  <c:v>32.2</c:v>
                </c:pt>
                <c:pt idx="11">
                  <c:v>38.3</c:v>
                </c:pt>
                <c:pt idx="12">
                  <c:v>38.3</c:v>
                </c:pt>
                <c:pt idx="13">
                  <c:v>32.6</c:v>
                </c:pt>
                <c:pt idx="14">
                  <c:v>32</c:v>
                </c:pt>
                <c:pt idx="15">
                  <c:v>40.27</c:v>
                </c:pt>
              </c:numCache>
            </c:numRef>
          </c:val>
        </c:ser>
        <c:ser>
          <c:idx val="1"/>
          <c:order val="1"/>
          <c:tx>
            <c:strRef>
              <c:f>Plan1!$A$7</c:f>
              <c:strCache>
                <c:ptCount val="1"/>
                <c:pt idx="0">
                  <c:v>CONILON</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numRef>
              <c:f>Plan1!$B$5:$Q$5</c:f>
              <c:numCach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Plan1!$B$7:$Q$7</c:f>
              <c:numCache>
                <c:ptCount val="16"/>
                <c:pt idx="0">
                  <c:v>8.8</c:v>
                </c:pt>
                <c:pt idx="1">
                  <c:v>10.5</c:v>
                </c:pt>
                <c:pt idx="2">
                  <c:v>8.7</c:v>
                </c:pt>
                <c:pt idx="3">
                  <c:v>7.5</c:v>
                </c:pt>
                <c:pt idx="4">
                  <c:v>9.1</c:v>
                </c:pt>
                <c:pt idx="5">
                  <c:v>9.5</c:v>
                </c:pt>
                <c:pt idx="6">
                  <c:v>10.9</c:v>
                </c:pt>
                <c:pt idx="7">
                  <c:v>10.5</c:v>
                </c:pt>
                <c:pt idx="8">
                  <c:v>10.6</c:v>
                </c:pt>
                <c:pt idx="9">
                  <c:v>11.2</c:v>
                </c:pt>
                <c:pt idx="10">
                  <c:v>11.3</c:v>
                </c:pt>
                <c:pt idx="11">
                  <c:v>12.5</c:v>
                </c:pt>
                <c:pt idx="12">
                  <c:v>10.9</c:v>
                </c:pt>
                <c:pt idx="13">
                  <c:v>13</c:v>
                </c:pt>
                <c:pt idx="14">
                  <c:v>11.2</c:v>
                </c:pt>
                <c:pt idx="15">
                  <c:v>9.399</c:v>
                </c:pt>
              </c:numCache>
            </c:numRef>
          </c:val>
        </c:ser>
        <c:ser>
          <c:idx val="2"/>
          <c:order val="2"/>
          <c:tx>
            <c:strRef>
              <c:f>Plan1!$A$8</c:f>
              <c:strCache>
                <c:ptCount val="1"/>
                <c:pt idx="0">
                  <c:v>TOTAL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4"/>
              <c:tx>
                <c:rich>
                  <a:bodyPr vert="horz" rot="0" anchor="ctr"/>
                  <a:lstStyle/>
                  <a:p>
                    <a:pPr algn="ctr">
                      <a:defRPr/>
                    </a:pPr>
                    <a:r>
                      <a:rPr lang="en-US" cap="none" sz="1000" b="1" i="0" u="none" baseline="0">
                        <a:solidFill>
                          <a:srgbClr val="000000"/>
                        </a:solidFill>
                      </a:rPr>
                      <a:t>BAIXA
</a:t>
                    </a:r>
                    <a:r>
                      <a:rPr lang="en-US" cap="none" sz="1000" b="1" i="0" u="none" baseline="0">
                        <a:solidFill>
                          <a:srgbClr val="000000"/>
                        </a:solidFill>
                      </a:rPr>
                      <a:t> 43,2 </a:t>
                    </a:r>
                  </a:p>
                </c:rich>
              </c:tx>
              <c:numFmt formatCode="General" sourceLinked="1"/>
              <c:spPr>
                <a:noFill/>
                <a:ln w="3175">
                  <a:noFill/>
                </a:ln>
              </c:spPr>
              <c:showLegendKey val="0"/>
              <c:showVal val="0"/>
              <c:showBubbleSize val="0"/>
              <c:showCatName val="1"/>
              <c:showSerName val="0"/>
              <c:showPercent val="0"/>
            </c:dLbl>
            <c:dLbl>
              <c:idx val="15"/>
              <c:tx>
                <c:rich>
                  <a:bodyPr vert="horz" rot="0" anchor="ctr"/>
                  <a:lstStyle/>
                  <a:p>
                    <a:pPr algn="ctr">
                      <a:defRPr/>
                    </a:pPr>
                    <a:r>
                      <a:rPr lang="en-US" cap="none" sz="1000" b="1" i="0" u="none" baseline="0">
                        <a:solidFill>
                          <a:srgbClr val="000000"/>
                        </a:solidFill>
                      </a:rPr>
                      <a:t> ALTA
</a:t>
                    </a:r>
                    <a:r>
                      <a:rPr lang="en-US" cap="none" sz="1000" b="1" i="0" u="none" baseline="0">
                        <a:solidFill>
                          <a:srgbClr val="000000"/>
                        </a:solidFill>
                      </a:rPr>
                      <a:t>49,7 </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numRef>
              <c:f>Plan1!$B$5:$Q$5</c:f>
              <c:numCach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Plan1!$B$8:$Q$8</c:f>
              <c:numCache>
                <c:ptCount val="16"/>
                <c:pt idx="0">
                  <c:v>31.3</c:v>
                </c:pt>
                <c:pt idx="1">
                  <c:v>48.4</c:v>
                </c:pt>
                <c:pt idx="2">
                  <c:v>28.8</c:v>
                </c:pt>
                <c:pt idx="3">
                  <c:v>39.2</c:v>
                </c:pt>
                <c:pt idx="4">
                  <c:v>32.9</c:v>
                </c:pt>
                <c:pt idx="5">
                  <c:v>42.5</c:v>
                </c:pt>
                <c:pt idx="6">
                  <c:v>36</c:v>
                </c:pt>
                <c:pt idx="7">
                  <c:v>46</c:v>
                </c:pt>
                <c:pt idx="8">
                  <c:v>39.4</c:v>
                </c:pt>
                <c:pt idx="9">
                  <c:v>48</c:v>
                </c:pt>
                <c:pt idx="10">
                  <c:v>43.5</c:v>
                </c:pt>
                <c:pt idx="11">
                  <c:v>50.8</c:v>
                </c:pt>
                <c:pt idx="12">
                  <c:v>49.199999999999996</c:v>
                </c:pt>
                <c:pt idx="13">
                  <c:v>45.6</c:v>
                </c:pt>
                <c:pt idx="14">
                  <c:v>43.2</c:v>
                </c:pt>
                <c:pt idx="15">
                  <c:v>49.669000000000004</c:v>
                </c:pt>
              </c:numCache>
            </c:numRef>
          </c:val>
        </c:ser>
        <c:gapWidth val="75"/>
        <c:axId val="23561764"/>
        <c:axId val="10729285"/>
      </c:barChart>
      <c:catAx>
        <c:axId val="23561764"/>
        <c:scaling>
          <c:orientation val="minMax"/>
        </c:scaling>
        <c:axPos val="b"/>
        <c:delete val="0"/>
        <c:numFmt formatCode="General" sourceLinked="1"/>
        <c:majorTickMark val="none"/>
        <c:minorTickMark val="none"/>
        <c:tickLblPos val="nextTo"/>
        <c:spPr>
          <a:ln w="3175">
            <a:solidFill>
              <a:srgbClr val="808080"/>
            </a:solidFill>
          </a:ln>
        </c:spPr>
        <c:crossAx val="10729285"/>
        <c:crosses val="autoZero"/>
        <c:auto val="1"/>
        <c:lblOffset val="100"/>
        <c:tickLblSkip val="1"/>
        <c:noMultiLvlLbl val="0"/>
      </c:catAx>
      <c:valAx>
        <c:axId val="10729285"/>
        <c:scaling>
          <c:orientation val="minMax"/>
        </c:scaling>
        <c:axPos val="l"/>
        <c:delete val="0"/>
        <c:numFmt formatCode="General" sourceLinked="1"/>
        <c:majorTickMark val="none"/>
        <c:minorTickMark val="none"/>
        <c:tickLblPos val="nextTo"/>
        <c:spPr>
          <a:ln w="3175">
            <a:solidFill>
              <a:srgbClr val="808080"/>
            </a:solidFill>
          </a:ln>
        </c:spPr>
        <c:txPr>
          <a:bodyPr/>
          <a:lstStyle/>
          <a:p>
            <a:pPr>
              <a:defRPr lang="en-US" cap="none" sz="1000" b="0" i="0" u="none" baseline="0">
                <a:solidFill>
                  <a:srgbClr val="000000"/>
                </a:solidFill>
                <a:latin typeface="Arial"/>
                <a:ea typeface="Arial"/>
                <a:cs typeface="Arial"/>
              </a:defRPr>
            </a:pPr>
          </a:p>
        </c:txPr>
        <c:crossAx val="23561764"/>
        <c:crossesAt val="1"/>
        <c:crossBetween val="between"/>
        <c:dispUnits/>
      </c:valAx>
      <c:spPr>
        <a:solidFill>
          <a:srgbClr val="FFFFFF"/>
        </a:solidFill>
        <a:ln w="3175">
          <a:noFill/>
        </a:ln>
      </c:spPr>
    </c:plotArea>
    <c:legend>
      <c:legendPos val="b"/>
      <c:layout>
        <c:manualLayout>
          <c:xMode val="edge"/>
          <c:yMode val="edge"/>
          <c:x val="0.37375"/>
          <c:y val="0.94575"/>
          <c:w val="0.2465"/>
          <c:h val="0.043"/>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Volume 2016/15</a:t>
            </a:r>
          </a:p>
        </c:rich>
      </c:tx>
      <c:layout>
        <c:manualLayout>
          <c:xMode val="factor"/>
          <c:yMode val="factor"/>
          <c:x val="0.0025"/>
          <c:y val="0"/>
        </c:manualLayout>
      </c:layout>
      <c:spPr>
        <a:noFill/>
        <a:ln w="3175">
          <a:noFill/>
        </a:ln>
      </c:spPr>
    </c:title>
    <c:plotArea>
      <c:layout>
        <c:manualLayout>
          <c:xMode val="edge"/>
          <c:yMode val="edge"/>
          <c:x val="0.04475"/>
          <c:y val="0.1325"/>
          <c:w val="0.7745"/>
          <c:h val="0.75175"/>
        </c:manualLayout>
      </c:layout>
      <c:barChart>
        <c:barDir val="col"/>
        <c:grouping val="clustered"/>
        <c:varyColors val="0"/>
        <c:ser>
          <c:idx val="0"/>
          <c:order val="0"/>
          <c:tx>
            <c:v>2016 Volume</c:v>
          </c:tx>
          <c:spPr>
            <a:solidFill>
              <a:srgbClr val="007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'16.Exp. Torrado'!$D$6:$D$12</c:f>
              <c:numCache/>
            </c:numRef>
          </c:val>
        </c:ser>
        <c:ser>
          <c:idx val="1"/>
          <c:order val="1"/>
          <c:tx>
            <c:v>2015 Volume</c:v>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('16.Exp. Torrado'!$G$6:$G$12,'16.Exp. Torrado'!$G$14:$G$18)</c:f>
              <c:numCache/>
            </c:numRef>
          </c:val>
        </c:ser>
        <c:axId val="52073534"/>
        <c:axId val="66008623"/>
      </c:barChart>
      <c:catAx>
        <c:axId val="5207353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Mês</a:t>
                </a:r>
              </a:p>
            </c:rich>
          </c:tx>
          <c:layout>
            <c:manualLayout>
              <c:xMode val="factor"/>
              <c:yMode val="factor"/>
              <c:x val="-0.015"/>
              <c:y val="-0.011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66008623"/>
        <c:crosses val="autoZero"/>
        <c:auto val="1"/>
        <c:lblOffset val="100"/>
        <c:tickLblSkip val="1"/>
        <c:noMultiLvlLbl val="0"/>
      </c:catAx>
      <c:valAx>
        <c:axId val="6600862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2073534"/>
        <c:crossesAt val="1"/>
        <c:crossBetween val="between"/>
        <c:dispUnits/>
      </c:valAx>
      <c:spPr>
        <a:solidFill>
          <a:srgbClr val="C0C0C0"/>
        </a:solidFill>
        <a:ln w="12700">
          <a:solidFill>
            <a:srgbClr val="808080"/>
          </a:solidFill>
        </a:ln>
      </c:spPr>
    </c:plotArea>
    <c:legend>
      <c:legendPos val="r"/>
      <c:layout>
        <c:manualLayout>
          <c:xMode val="edge"/>
          <c:yMode val="edge"/>
          <c:x val="0.84625"/>
          <c:y val="0.18225"/>
          <c:w val="0.1365"/>
          <c:h val="0.57475"/>
        </c:manualLayout>
      </c:layout>
      <c:overlay val="0"/>
      <c:spPr>
        <a:solidFill>
          <a:srgbClr val="FFFFFF"/>
        </a:solidFill>
        <a:ln w="25400">
          <a:solidFill>
            <a:srgbClr val="993366"/>
          </a:solidFill>
        </a:ln>
      </c:spPr>
      <c:txPr>
        <a:bodyPr vert="horz" rot="0"/>
        <a:lstStyle/>
        <a:p>
          <a:pPr>
            <a:defRPr lang="en-US" cap="none" sz="800" b="0" i="0" u="none" baseline="0">
              <a:solidFill>
                <a:srgbClr val="000000"/>
              </a:solidFill>
            </a:defRPr>
          </a:pPr>
        </a:p>
      </c:txPr>
    </c:legend>
    <c:plotVisOnly val="1"/>
    <c:dispBlanksAs val="gap"/>
    <c:showDLblsOverMax val="0"/>
  </c:chart>
  <c:spPr>
    <a:blipFill>
      <a:blip r:embed="rId1"/>
      <a:srcRect/>
      <a:tile sx="100000" sy="100000" flip="none" algn="tl"/>
    </a:blip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Receita Cambial 2016/15</a:t>
            </a:r>
          </a:p>
        </c:rich>
      </c:tx>
      <c:layout>
        <c:manualLayout>
          <c:xMode val="factor"/>
          <c:yMode val="factor"/>
          <c:x val="-0.0145"/>
          <c:y val="0.00475"/>
        </c:manualLayout>
      </c:layout>
      <c:spPr>
        <a:noFill/>
        <a:ln w="3175">
          <a:noFill/>
        </a:ln>
      </c:spPr>
    </c:title>
    <c:plotArea>
      <c:layout>
        <c:manualLayout>
          <c:xMode val="edge"/>
          <c:yMode val="edge"/>
          <c:x val="0.0155"/>
          <c:y val="0.0895"/>
          <c:w val="0.814"/>
          <c:h val="0.824"/>
        </c:manualLayout>
      </c:layout>
      <c:barChart>
        <c:barDir val="col"/>
        <c:grouping val="clustered"/>
        <c:varyColors val="0"/>
        <c:ser>
          <c:idx val="0"/>
          <c:order val="0"/>
          <c:tx>
            <c:v>2016 Receita</c:v>
          </c:tx>
          <c:spPr>
            <a:solidFill>
              <a:srgbClr val="007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'17.Exp. Extrato'!$C$6:$C$12</c:f>
              <c:numCache/>
            </c:numRef>
          </c:val>
        </c:ser>
        <c:ser>
          <c:idx val="1"/>
          <c:order val="1"/>
          <c:tx>
            <c:v>2015 Receita</c:v>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('17.Exp. Extrato'!$F$6:$F$12,'17.Exp. Extrato'!$F$14:$F$18)</c:f>
              <c:numCache/>
            </c:numRef>
          </c:val>
        </c:ser>
        <c:axId val="57206696"/>
        <c:axId val="45098217"/>
      </c:barChart>
      <c:catAx>
        <c:axId val="5720669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Mês</a:t>
                </a:r>
              </a:p>
            </c:rich>
          </c:tx>
          <c:layout>
            <c:manualLayout>
              <c:xMode val="factor"/>
              <c:yMode val="factor"/>
              <c:x val="-0.01525"/>
              <c:y val="-0.013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45098217"/>
        <c:crosses val="autoZero"/>
        <c:auto val="1"/>
        <c:lblOffset val="100"/>
        <c:tickLblSkip val="1"/>
        <c:noMultiLvlLbl val="0"/>
      </c:catAx>
      <c:valAx>
        <c:axId val="4509821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7206696"/>
        <c:crossesAt val="1"/>
        <c:crossBetween val="between"/>
        <c:dispUnits/>
      </c:valAx>
      <c:spPr>
        <a:solidFill>
          <a:srgbClr val="C0C0C0"/>
        </a:solidFill>
        <a:ln w="12700">
          <a:solidFill>
            <a:srgbClr val="808080"/>
          </a:solidFill>
        </a:ln>
      </c:spPr>
    </c:plotArea>
    <c:legend>
      <c:legendPos val="r"/>
      <c:layout>
        <c:manualLayout>
          <c:xMode val="edge"/>
          <c:yMode val="edge"/>
          <c:x val="0.85025"/>
          <c:y val="0.14625"/>
          <c:w val="0.1425"/>
          <c:h val="0.65575"/>
        </c:manualLayout>
      </c:layout>
      <c:overlay val="0"/>
      <c:spPr>
        <a:solidFill>
          <a:srgbClr val="FFFFFF"/>
        </a:solidFill>
        <a:ln w="25400">
          <a:solidFill>
            <a:srgbClr val="993366"/>
          </a:solidFill>
        </a:ln>
      </c:spPr>
      <c:txPr>
        <a:bodyPr vert="horz" rot="0"/>
        <a:lstStyle/>
        <a:p>
          <a:pPr>
            <a:defRPr lang="en-US" cap="none" sz="800" b="0" i="0" u="none" baseline="0">
              <a:solidFill>
                <a:srgbClr val="000000"/>
              </a:solidFill>
            </a:defRPr>
          </a:pPr>
        </a:p>
      </c:txPr>
    </c:legend>
    <c:plotVisOnly val="1"/>
    <c:dispBlanksAs val="gap"/>
    <c:showDLblsOverMax val="0"/>
  </c:chart>
  <c:spPr>
    <a:blipFill>
      <a:blip r:embed="rId1"/>
      <a:srcRect/>
      <a:tile sx="100000" sy="100000" flip="none" algn="tl"/>
    </a:blip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Volume 2016/15</a:t>
            </a:r>
          </a:p>
        </c:rich>
      </c:tx>
      <c:layout>
        <c:manualLayout>
          <c:xMode val="factor"/>
          <c:yMode val="factor"/>
          <c:x val="0.0025"/>
          <c:y val="0"/>
        </c:manualLayout>
      </c:layout>
      <c:spPr>
        <a:noFill/>
        <a:ln w="3175">
          <a:noFill/>
        </a:ln>
      </c:spPr>
    </c:title>
    <c:plotArea>
      <c:layout>
        <c:manualLayout>
          <c:xMode val="edge"/>
          <c:yMode val="edge"/>
          <c:x val="0.0305"/>
          <c:y val="0.0835"/>
          <c:w val="0.78875"/>
          <c:h val="0.8185"/>
        </c:manualLayout>
      </c:layout>
      <c:barChart>
        <c:barDir val="col"/>
        <c:grouping val="clustered"/>
        <c:varyColors val="0"/>
        <c:ser>
          <c:idx val="0"/>
          <c:order val="0"/>
          <c:tx>
            <c:v>2016 Volume</c:v>
          </c:tx>
          <c:spPr>
            <a:solidFill>
              <a:srgbClr val="007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'17.Exp. Extrato'!$D$6:$D$12</c:f>
              <c:numCache/>
            </c:numRef>
          </c:val>
        </c:ser>
        <c:ser>
          <c:idx val="1"/>
          <c:order val="1"/>
          <c:tx>
            <c:v>2015 Volume</c:v>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('17.Exp. Extrato'!$G$6:$G$12,'17.Exp. Extrato'!$G$14:$G$18)</c:f>
              <c:numCache/>
            </c:numRef>
          </c:val>
        </c:ser>
        <c:axId val="3230770"/>
        <c:axId val="29076931"/>
      </c:barChart>
      <c:catAx>
        <c:axId val="323077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Mês</a:t>
                </a:r>
              </a:p>
            </c:rich>
          </c:tx>
          <c:layout>
            <c:manualLayout>
              <c:xMode val="factor"/>
              <c:yMode val="factor"/>
              <c:x val="-0.01675"/>
              <c:y val="-0.011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29076931"/>
        <c:crosses val="autoZero"/>
        <c:auto val="1"/>
        <c:lblOffset val="100"/>
        <c:tickLblSkip val="1"/>
        <c:noMultiLvlLbl val="0"/>
      </c:catAx>
      <c:valAx>
        <c:axId val="2907693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230770"/>
        <c:crossesAt val="1"/>
        <c:crossBetween val="between"/>
        <c:dispUnits/>
      </c:valAx>
      <c:spPr>
        <a:solidFill>
          <a:srgbClr val="C0C0C0"/>
        </a:solidFill>
        <a:ln w="12700">
          <a:solidFill>
            <a:srgbClr val="808080"/>
          </a:solidFill>
        </a:ln>
      </c:spPr>
    </c:plotArea>
    <c:legend>
      <c:legendPos val="r"/>
      <c:layout>
        <c:manualLayout>
          <c:xMode val="edge"/>
          <c:yMode val="edge"/>
          <c:x val="0.84625"/>
          <c:y val="0.13075"/>
          <c:w val="0.1365"/>
          <c:h val="0.6495"/>
        </c:manualLayout>
      </c:layout>
      <c:overlay val="0"/>
      <c:spPr>
        <a:solidFill>
          <a:srgbClr val="FFFFFF"/>
        </a:solidFill>
        <a:ln w="25400">
          <a:solidFill>
            <a:srgbClr val="993366"/>
          </a:solidFill>
        </a:ln>
      </c:spPr>
      <c:txPr>
        <a:bodyPr vert="horz" rot="0"/>
        <a:lstStyle/>
        <a:p>
          <a:pPr>
            <a:defRPr lang="en-US" cap="none" sz="800" b="0" i="0" u="none" baseline="0">
              <a:solidFill>
                <a:srgbClr val="000000"/>
              </a:solidFill>
            </a:defRPr>
          </a:pPr>
        </a:p>
      </c:txPr>
    </c:legend>
    <c:plotVisOnly val="1"/>
    <c:dispBlanksAs val="gap"/>
    <c:showDLblsOverMax val="0"/>
  </c:chart>
  <c:spPr>
    <a:blipFill>
      <a:blip r:embed="rId1"/>
      <a:srcRect/>
      <a:tile sx="100000" sy="100000" flip="none" algn="tl"/>
    </a:blip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Receita Cambial Global 2016/15</a:t>
            </a:r>
          </a:p>
        </c:rich>
      </c:tx>
      <c:layout>
        <c:manualLayout>
          <c:xMode val="factor"/>
          <c:yMode val="factor"/>
          <c:x val="0.007"/>
          <c:y val="0.005"/>
        </c:manualLayout>
      </c:layout>
      <c:spPr>
        <a:noFill/>
        <a:ln w="3175">
          <a:noFill/>
        </a:ln>
      </c:spPr>
    </c:title>
    <c:plotArea>
      <c:layout>
        <c:manualLayout>
          <c:xMode val="edge"/>
          <c:yMode val="edge"/>
          <c:x val="-0.00925"/>
          <c:y val="0.1365"/>
          <c:w val="0.83525"/>
          <c:h val="0.72725"/>
        </c:manualLayout>
      </c:layout>
      <c:barChart>
        <c:barDir val="col"/>
        <c:grouping val="clustered"/>
        <c:varyColors val="0"/>
        <c:ser>
          <c:idx val="1"/>
          <c:order val="0"/>
          <c:tx>
            <c:v>2016 Receita</c:v>
          </c:tx>
          <c:spPr>
            <a:solidFill>
              <a:srgbClr val="007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'18.Total'!$C$7:$C$13</c:f>
              <c:numCache/>
            </c:numRef>
          </c:val>
        </c:ser>
        <c:ser>
          <c:idx val="0"/>
          <c:order val="1"/>
          <c:tx>
            <c:v>2015 Receita</c:v>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'18.Total'!$L$7:$L$13</c:f>
              <c:numCache/>
            </c:numRef>
          </c:val>
        </c:ser>
        <c:axId val="60365788"/>
        <c:axId val="6421181"/>
      </c:barChart>
      <c:catAx>
        <c:axId val="6036578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Mês</a:t>
                </a:r>
              </a:p>
            </c:rich>
          </c:tx>
          <c:layout>
            <c:manualLayout>
              <c:xMode val="factor"/>
              <c:yMode val="factor"/>
              <c:x val="-0.0145"/>
              <c:y val="-0.014"/>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crossAx val="6421181"/>
        <c:crosses val="autoZero"/>
        <c:auto val="1"/>
        <c:lblOffset val="100"/>
        <c:tickLblSkip val="1"/>
        <c:noMultiLvlLbl val="0"/>
      </c:catAx>
      <c:valAx>
        <c:axId val="642118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365788"/>
        <c:crossesAt val="1"/>
        <c:crossBetween val="between"/>
        <c:dispUnits/>
      </c:valAx>
      <c:spPr>
        <a:solidFill>
          <a:srgbClr val="C0C0C0"/>
        </a:solidFill>
        <a:ln w="12700">
          <a:solidFill>
            <a:srgbClr val="808080"/>
          </a:solidFill>
        </a:ln>
      </c:spPr>
    </c:plotArea>
    <c:legend>
      <c:legendPos val="r"/>
      <c:layout>
        <c:manualLayout>
          <c:xMode val="edge"/>
          <c:yMode val="edge"/>
          <c:x val="0.85075"/>
          <c:y val="0.188"/>
          <c:w val="0.13975"/>
          <c:h val="0.57925"/>
        </c:manualLayout>
      </c:layout>
      <c:overlay val="0"/>
      <c:spPr>
        <a:solidFill>
          <a:srgbClr val="FFFFFF"/>
        </a:solidFill>
        <a:ln w="25400">
          <a:solidFill>
            <a:srgbClr val="993366"/>
          </a:solidFill>
        </a:ln>
      </c:spPr>
      <c:txPr>
        <a:bodyPr vert="horz" rot="0"/>
        <a:lstStyle/>
        <a:p>
          <a:pPr>
            <a:defRPr lang="en-US" cap="none" sz="800" b="0" i="0" u="none" baseline="0">
              <a:solidFill>
                <a:srgbClr val="000000"/>
              </a:solidFill>
            </a:defRPr>
          </a:pPr>
        </a:p>
      </c:txPr>
    </c:legend>
    <c:plotVisOnly val="1"/>
    <c:dispBlanksAs val="gap"/>
    <c:showDLblsOverMax val="0"/>
  </c:chart>
  <c:spPr>
    <a:blipFill>
      <a:blip r:embed="rId1"/>
      <a:srcRect/>
      <a:tile sx="100000" sy="100000" flip="none" algn="tl"/>
    </a:blip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Volume Global 2016/15</a:t>
            </a:r>
          </a:p>
        </c:rich>
      </c:tx>
      <c:layout>
        <c:manualLayout>
          <c:xMode val="factor"/>
          <c:yMode val="factor"/>
          <c:x val="0.0285"/>
          <c:y val="-0.005"/>
        </c:manualLayout>
      </c:layout>
      <c:spPr>
        <a:noFill/>
        <a:ln w="3175">
          <a:noFill/>
        </a:ln>
      </c:spPr>
    </c:title>
    <c:plotArea>
      <c:layout>
        <c:manualLayout>
          <c:xMode val="edge"/>
          <c:yMode val="edge"/>
          <c:x val="-0.00175"/>
          <c:y val="0.12475"/>
          <c:w val="0.82"/>
          <c:h val="0.76525"/>
        </c:manualLayout>
      </c:layout>
      <c:barChart>
        <c:barDir val="col"/>
        <c:grouping val="clustered"/>
        <c:varyColors val="0"/>
        <c:ser>
          <c:idx val="1"/>
          <c:order val="0"/>
          <c:tx>
            <c:v>2016 Volume</c:v>
          </c:tx>
          <c:spPr>
            <a:solidFill>
              <a:srgbClr val="007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'18.Total'!$F$7:$F$13</c:f>
              <c:numCache/>
            </c:numRef>
          </c:val>
        </c:ser>
        <c:ser>
          <c:idx val="0"/>
          <c:order val="1"/>
          <c:tx>
            <c:v>2015 Volume</c:v>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'18.Total'!$N$7:$N$13</c:f>
              <c:numCache/>
            </c:numRef>
          </c:val>
        </c:ser>
        <c:axId val="57790630"/>
        <c:axId val="50353623"/>
      </c:barChart>
      <c:catAx>
        <c:axId val="5779063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Mês</a:t>
                </a:r>
              </a:p>
            </c:rich>
          </c:tx>
          <c:layout>
            <c:manualLayout>
              <c:xMode val="factor"/>
              <c:yMode val="factor"/>
              <c:x val="-0.01375"/>
              <c:y val="-0.011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50353623"/>
        <c:crosses val="autoZero"/>
        <c:auto val="1"/>
        <c:lblOffset val="100"/>
        <c:tickLblSkip val="1"/>
        <c:noMultiLvlLbl val="0"/>
      </c:catAx>
      <c:valAx>
        <c:axId val="5035362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7790630"/>
        <c:crossesAt val="1"/>
        <c:crossBetween val="between"/>
        <c:dispUnits/>
      </c:valAx>
      <c:spPr>
        <a:solidFill>
          <a:srgbClr val="C0C0C0"/>
        </a:solidFill>
        <a:ln w="12700">
          <a:solidFill>
            <a:srgbClr val="808080"/>
          </a:solidFill>
        </a:ln>
      </c:spPr>
    </c:plotArea>
    <c:legend>
      <c:legendPos val="r"/>
      <c:layout>
        <c:manualLayout>
          <c:xMode val="edge"/>
          <c:yMode val="edge"/>
          <c:x val="0.8475"/>
          <c:y val="0.1805"/>
          <c:w val="0.14525"/>
          <c:h val="0.57075"/>
        </c:manualLayout>
      </c:layout>
      <c:overlay val="0"/>
      <c:spPr>
        <a:solidFill>
          <a:srgbClr val="FFFFFF"/>
        </a:solidFill>
        <a:ln w="25400">
          <a:solidFill>
            <a:srgbClr val="993366"/>
          </a:solidFill>
        </a:ln>
      </c:spPr>
      <c:txPr>
        <a:bodyPr vert="horz" rot="0"/>
        <a:lstStyle/>
        <a:p>
          <a:pPr>
            <a:defRPr lang="en-US" cap="none" sz="800" b="0" i="0" u="none" baseline="0">
              <a:solidFill>
                <a:srgbClr val="000000"/>
              </a:solidFill>
            </a:defRPr>
          </a:pPr>
        </a:p>
      </c:txPr>
    </c:legend>
    <c:plotVisOnly val="1"/>
    <c:dispBlanksAs val="gap"/>
    <c:showDLblsOverMax val="0"/>
  </c:chart>
  <c:spPr>
    <a:blipFill>
      <a:blip r:embed="rId1"/>
      <a:srcRect/>
      <a:tile sx="100000" sy="100000" flip="none" algn="tl"/>
    </a:blip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805"/>
          <c:w val="0.96325"/>
          <c:h val="0.82325"/>
        </c:manualLayout>
      </c:layout>
      <c:barChart>
        <c:barDir val="col"/>
        <c:grouping val="clustered"/>
        <c:varyColors val="0"/>
        <c:ser>
          <c:idx val="0"/>
          <c:order val="0"/>
          <c:tx>
            <c:strRef>
              <c:f>Plan1!$A$6</c:f>
              <c:strCache>
                <c:ptCount val="1"/>
                <c:pt idx="0">
                  <c:v>ARÁBICA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numRef>
              <c:f>Plan1!$B$5:$Q$5</c:f>
              <c:numCache/>
            </c:numRef>
          </c:cat>
          <c:val>
            <c:numRef>
              <c:f>Plan1!$B$6:$Q$6</c:f>
              <c:numCache/>
            </c:numRef>
          </c:val>
        </c:ser>
        <c:ser>
          <c:idx val="1"/>
          <c:order val="1"/>
          <c:tx>
            <c:strRef>
              <c:f>Plan1!$A$7</c:f>
              <c:strCache>
                <c:ptCount val="1"/>
                <c:pt idx="0">
                  <c:v>CONILON</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numRef>
              <c:f>Plan1!$B$5:$Q$5</c:f>
              <c:numCache/>
            </c:numRef>
          </c:cat>
          <c:val>
            <c:numRef>
              <c:f>Plan1!$B$7:$Q$7</c:f>
              <c:numCache/>
            </c:numRef>
          </c:val>
        </c:ser>
        <c:ser>
          <c:idx val="2"/>
          <c:order val="2"/>
          <c:tx>
            <c:strRef>
              <c:f>Plan1!$A$8</c:f>
              <c:strCache>
                <c:ptCount val="1"/>
                <c:pt idx="0">
                  <c:v>TOTAL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numRef>
              <c:f>Plan1!$B$5:$Q$5</c:f>
              <c:numCache/>
            </c:numRef>
          </c:cat>
          <c:val>
            <c:numRef>
              <c:f>Plan1!$B$8:$Q$8</c:f>
              <c:numCache/>
            </c:numRef>
          </c:val>
        </c:ser>
        <c:gapWidth val="75"/>
        <c:axId val="50529424"/>
        <c:axId val="52111633"/>
      </c:barChart>
      <c:catAx>
        <c:axId val="50529424"/>
        <c:scaling>
          <c:orientation val="minMax"/>
        </c:scaling>
        <c:axPos val="b"/>
        <c:delete val="0"/>
        <c:numFmt formatCode="General" sourceLinked="1"/>
        <c:majorTickMark val="none"/>
        <c:minorTickMark val="none"/>
        <c:tickLblPos val="nextTo"/>
        <c:spPr>
          <a:ln w="3175">
            <a:solidFill>
              <a:srgbClr val="808080"/>
            </a:solidFill>
          </a:ln>
        </c:spPr>
        <c:crossAx val="52111633"/>
        <c:crosses val="autoZero"/>
        <c:auto val="1"/>
        <c:lblOffset val="100"/>
        <c:tickLblSkip val="1"/>
        <c:noMultiLvlLbl val="0"/>
      </c:catAx>
      <c:valAx>
        <c:axId val="52111633"/>
        <c:scaling>
          <c:orientation val="minMax"/>
        </c:scaling>
        <c:axPos val="l"/>
        <c:delete val="0"/>
        <c:numFmt formatCode="General" sourceLinked="1"/>
        <c:majorTickMark val="none"/>
        <c:minorTickMark val="none"/>
        <c:tickLblPos val="nextTo"/>
        <c:spPr>
          <a:ln w="3175">
            <a:solidFill>
              <a:srgbClr val="808080"/>
            </a:solidFill>
          </a:ln>
        </c:spPr>
        <c:txPr>
          <a:bodyPr/>
          <a:lstStyle/>
          <a:p>
            <a:pPr>
              <a:defRPr lang="en-US" cap="none" sz="1000" b="0" i="0" u="none" baseline="0">
                <a:solidFill>
                  <a:srgbClr val="000000"/>
                </a:solidFill>
                <a:latin typeface="Arial"/>
                <a:ea typeface="Arial"/>
                <a:cs typeface="Arial"/>
              </a:defRPr>
            </a:pPr>
          </a:p>
        </c:txPr>
        <c:crossAx val="50529424"/>
        <c:crossesAt val="1"/>
        <c:crossBetween val="between"/>
        <c:dispUnits/>
      </c:valAx>
      <c:spPr>
        <a:solidFill>
          <a:srgbClr val="FFFFFF"/>
        </a:solidFill>
        <a:ln w="3175">
          <a:noFill/>
        </a:ln>
      </c:spPr>
    </c:plotArea>
    <c:legend>
      <c:legendPos val="b"/>
      <c:layout>
        <c:manualLayout>
          <c:xMode val="edge"/>
          <c:yMode val="edge"/>
          <c:x val="0.33475"/>
          <c:y val="0.89575"/>
          <c:w val="0.32725"/>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Evolução dos Preços
Pagos ao Produtor -  </a:t>
            </a:r>
            <a:r>
              <a:rPr lang="en-US" cap="none" sz="900" b="0" i="0" u="none" baseline="0">
                <a:solidFill>
                  <a:srgbClr val="000000"/>
                </a:solidFill>
              </a:rPr>
              <a:t>Em R$/saca</a:t>
            </a:r>
          </a:p>
        </c:rich>
      </c:tx>
      <c:layout>
        <c:manualLayout>
          <c:xMode val="factor"/>
          <c:yMode val="factor"/>
          <c:x val="-0.00275"/>
          <c:y val="-0.01075"/>
        </c:manualLayout>
      </c:layout>
      <c:spPr>
        <a:noFill/>
        <a:ln w="3175">
          <a:noFill/>
        </a:ln>
      </c:spPr>
    </c:title>
    <c:plotArea>
      <c:layout>
        <c:manualLayout>
          <c:xMode val="edge"/>
          <c:yMode val="edge"/>
          <c:x val="-0.0005"/>
          <c:y val="0.15975"/>
          <c:w val="0.8565"/>
          <c:h val="0.83075"/>
        </c:manualLayout>
      </c:layout>
      <c:lineChart>
        <c:grouping val="standard"/>
        <c:varyColors val="0"/>
        <c:ser>
          <c:idx val="0"/>
          <c:order val="0"/>
          <c:tx>
            <c:strRef>
              <c:f>'6.Preços'!$A$29</c:f>
              <c:strCache>
                <c:ptCount val="1"/>
                <c:pt idx="0">
                  <c:v>MG</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strRef>
              <c:f>'6.Preços'!$B$28:$E$28</c:f>
              <c:strCache/>
            </c:strRef>
          </c:cat>
          <c:val>
            <c:numRef>
              <c:f>'6.Preços'!$B$29:$E$29</c:f>
              <c:numCache/>
            </c:numRef>
          </c:val>
          <c:smooth val="0"/>
        </c:ser>
        <c:ser>
          <c:idx val="1"/>
          <c:order val="1"/>
          <c:tx>
            <c:strRef>
              <c:f>'6.Preços'!$A$31</c:f>
              <c:strCache>
                <c:ptCount val="1"/>
                <c:pt idx="0">
                  <c:v>ES</c:v>
                </c:pt>
              </c:strCache>
            </c:strRef>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C0C0C0"/>
              </a:solidFill>
              <a:ln>
                <a:solidFill>
                  <a:srgbClr val="9999FF"/>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strRef>
              <c:f>'6.Preços'!$B$28:$E$28</c:f>
              <c:strCache/>
            </c:strRef>
          </c:cat>
          <c:val>
            <c:numRef>
              <c:f>'6.Preços'!$B$31:$E$31</c:f>
              <c:numCache/>
            </c:numRef>
          </c:val>
          <c:smooth val="0"/>
        </c:ser>
        <c:marker val="1"/>
        <c:axId val="29454702"/>
        <c:axId val="63765727"/>
      </c:lineChart>
      <c:catAx>
        <c:axId val="29454702"/>
        <c:scaling>
          <c:orientation val="minMax"/>
        </c:scaling>
        <c:axPos val="b"/>
        <c:delete val="0"/>
        <c:numFmt formatCode="General" sourceLinked="1"/>
        <c:majorTickMark val="none"/>
        <c:minorTickMark val="none"/>
        <c:tickLblPos val="nextTo"/>
        <c:spPr>
          <a:ln w="3175">
            <a:solidFill>
              <a:srgbClr val="808080"/>
            </a:solidFill>
          </a:ln>
        </c:spPr>
        <c:crossAx val="63765727"/>
        <c:crosses val="autoZero"/>
        <c:auto val="1"/>
        <c:lblOffset val="100"/>
        <c:tickLblSkip val="1"/>
        <c:noMultiLvlLbl val="0"/>
      </c:catAx>
      <c:valAx>
        <c:axId val="63765727"/>
        <c:scaling>
          <c:orientation val="minMax"/>
          <c:min val="162"/>
        </c:scaling>
        <c:axPos val="l"/>
        <c:majorGridlines>
          <c:spPr>
            <a:ln w="3175">
              <a:solidFill>
                <a:srgbClr val="808080"/>
              </a:solidFill>
            </a:ln>
          </c:spPr>
        </c:majorGridlines>
        <c:delete val="0"/>
        <c:numFmt formatCode="_(* #,##0_);_(* \(#,##0\);_(* &quot;-&quot;_);_(@_)" sourceLinked="0"/>
        <c:majorTickMark val="none"/>
        <c:minorTickMark val="none"/>
        <c:tickLblPos val="nextTo"/>
        <c:spPr>
          <a:ln w="3175">
            <a:solidFill>
              <a:srgbClr val="808080"/>
            </a:solidFill>
          </a:ln>
        </c:spPr>
        <c:crossAx val="29454702"/>
        <c:crossesAt val="1"/>
        <c:crossBetween val="between"/>
        <c:dispUnits/>
      </c:valAx>
      <c:spPr>
        <a:solidFill>
          <a:srgbClr val="C4BD97"/>
        </a:solidFill>
        <a:ln w="3175">
          <a:noFill/>
        </a:ln>
      </c:spPr>
    </c:plotArea>
    <c:legend>
      <c:legendPos val="r"/>
      <c:layout>
        <c:manualLayout>
          <c:xMode val="edge"/>
          <c:yMode val="edge"/>
          <c:x val="0.846"/>
          <c:y val="0.23475"/>
          <c:w val="0.154"/>
          <c:h val="0.5885"/>
        </c:manualLayout>
      </c:layout>
      <c:overlay val="0"/>
      <c:spPr>
        <a:noFill/>
        <a:ln w="3175">
          <a:noFill/>
        </a:ln>
      </c:spPr>
    </c:legend>
    <c:plotVisOnly val="1"/>
    <c:dispBlanksAs val="gap"/>
    <c:showDLblsOverMax val="0"/>
  </c:chart>
  <c:spPr>
    <a:solidFill>
      <a:srgbClr val="C3D69B"/>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Evolução dos Preços
Internacionais - </a:t>
            </a:r>
            <a:r>
              <a:rPr lang="en-US" cap="none" sz="900" b="0" i="0" u="none" baseline="0">
                <a:solidFill>
                  <a:srgbClr val="000000"/>
                </a:solidFill>
              </a:rPr>
              <a:t>NY US$(cents/lp) e  LD (US$/Ton.)</a:t>
            </a:r>
          </a:p>
        </c:rich>
      </c:tx>
      <c:layout>
        <c:manualLayout>
          <c:xMode val="factor"/>
          <c:yMode val="factor"/>
          <c:x val="0.03875"/>
          <c:y val="-0.0335"/>
        </c:manualLayout>
      </c:layout>
      <c:spPr>
        <a:noFill/>
        <a:ln w="3175">
          <a:noFill/>
        </a:ln>
      </c:spPr>
    </c:title>
    <c:plotArea>
      <c:layout>
        <c:manualLayout>
          <c:xMode val="edge"/>
          <c:yMode val="edge"/>
          <c:x val="-0.0165"/>
          <c:y val="0.1285"/>
          <c:w val="0.86325"/>
          <c:h val="0.839"/>
        </c:manualLayout>
      </c:layout>
      <c:lineChart>
        <c:grouping val="standard"/>
        <c:varyColors val="0"/>
        <c:ser>
          <c:idx val="0"/>
          <c:order val="0"/>
          <c:tx>
            <c:strRef>
              <c:f>'6.Preços'!$A$30</c:f>
              <c:strCache>
                <c:ptCount val="1"/>
                <c:pt idx="0">
                  <c:v>NY</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strRef>
              <c:f>'6.Preços'!$B$28:$E$28</c:f>
              <c:strCache/>
            </c:strRef>
          </c:cat>
          <c:val>
            <c:numRef>
              <c:f>'6.Preços'!$B$30:$E$30</c:f>
              <c:numCache/>
            </c:numRef>
          </c:val>
          <c:smooth val="0"/>
        </c:ser>
        <c:ser>
          <c:idx val="1"/>
          <c:order val="1"/>
          <c:tx>
            <c:strRef>
              <c:f>'6.Preços'!$A$32</c:f>
              <c:strCache>
                <c:ptCount val="1"/>
                <c:pt idx="0">
                  <c:v>LD</c:v>
                </c:pt>
              </c:strCache>
            </c:strRef>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C0C0C0"/>
              </a:solidFill>
              <a:ln>
                <a:solidFill>
                  <a:srgbClr val="9999FF"/>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strRef>
              <c:f>'6.Preços'!$B$28:$E$28</c:f>
              <c:strCache/>
            </c:strRef>
          </c:cat>
          <c:val>
            <c:numRef>
              <c:f>'6.Preços'!$B$32:$E$32</c:f>
              <c:numCache/>
            </c:numRef>
          </c:val>
          <c:smooth val="0"/>
        </c:ser>
        <c:marker val="1"/>
        <c:axId val="37020632"/>
        <c:axId val="64750233"/>
      </c:lineChart>
      <c:catAx>
        <c:axId val="37020632"/>
        <c:scaling>
          <c:orientation val="minMax"/>
        </c:scaling>
        <c:axPos val="b"/>
        <c:delete val="0"/>
        <c:numFmt formatCode="General" sourceLinked="1"/>
        <c:majorTickMark val="out"/>
        <c:minorTickMark val="none"/>
        <c:tickLblPos val="nextTo"/>
        <c:spPr>
          <a:ln w="3175">
            <a:solidFill>
              <a:srgbClr val="808080"/>
            </a:solidFill>
          </a:ln>
        </c:spPr>
        <c:crossAx val="64750233"/>
        <c:crosses val="autoZero"/>
        <c:auto val="1"/>
        <c:lblOffset val="100"/>
        <c:tickLblSkip val="1"/>
        <c:noMultiLvlLbl val="0"/>
      </c:catAx>
      <c:valAx>
        <c:axId val="64750233"/>
        <c:scaling>
          <c:orientation val="minMax"/>
          <c:min val="12"/>
        </c:scaling>
        <c:axPos val="l"/>
        <c:majorGridlines>
          <c:spPr>
            <a:ln w="3175">
              <a:solidFill>
                <a:srgbClr val="808080"/>
              </a:solidFill>
            </a:ln>
          </c:spPr>
        </c:majorGridlines>
        <c:delete val="0"/>
        <c:numFmt formatCode="_(* #,##0_);_(* \(#,##0\);_(* &quot;-&quot;_);_(@_)" sourceLinked="0"/>
        <c:majorTickMark val="out"/>
        <c:minorTickMark val="none"/>
        <c:tickLblPos val="nextTo"/>
        <c:spPr>
          <a:ln w="3175">
            <a:solidFill>
              <a:srgbClr val="808080"/>
            </a:solidFill>
          </a:ln>
        </c:spPr>
        <c:crossAx val="37020632"/>
        <c:crossesAt val="1"/>
        <c:crossBetween val="between"/>
        <c:dispUnits/>
      </c:valAx>
      <c:spPr>
        <a:solidFill>
          <a:srgbClr val="C4BD97"/>
        </a:solidFill>
        <a:ln w="3175">
          <a:noFill/>
        </a:ln>
      </c:spPr>
    </c:plotArea>
    <c:legend>
      <c:legendPos val="r"/>
      <c:layout>
        <c:manualLayout>
          <c:xMode val="edge"/>
          <c:yMode val="edge"/>
          <c:x val="0.85875"/>
          <c:y val="0.17475"/>
          <c:w val="0.13575"/>
          <c:h val="0.684"/>
        </c:manualLayout>
      </c:layout>
      <c:overlay val="0"/>
      <c:spPr>
        <a:noFill/>
        <a:ln w="3175">
          <a:noFill/>
        </a:ln>
      </c:spPr>
    </c:legend>
    <c:plotVisOnly val="1"/>
    <c:dispBlanksAs val="gap"/>
    <c:showDLblsOverMax val="0"/>
  </c:chart>
  <c:spPr>
    <a:solidFill>
      <a:srgbClr val="C3D69B"/>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975"/>
          <c:y val="0.2425"/>
          <c:w val="0.87125"/>
          <c:h val="0.705"/>
        </c:manualLayout>
      </c:layout>
      <c:lineChart>
        <c:grouping val="standard"/>
        <c:varyColors val="0"/>
        <c:ser>
          <c:idx val="0"/>
          <c:order val="0"/>
          <c:tx>
            <c:strRef>
              <c:f>'[1]Preços Internos'!$B$3</c:f>
              <c:strCache>
                <c:ptCount val="1"/>
                <c:pt idx="0">
                  <c:v>Arábica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'[1]Preços Internos'!$A$4:$A$82</c:f>
              <c:numCache>
                <c:ptCount val="79"/>
                <c:pt idx="0">
                  <c:v>2010</c:v>
                </c:pt>
                <c:pt idx="12">
                  <c:v>2011</c:v>
                </c:pt>
                <c:pt idx="24">
                  <c:v>2012</c:v>
                </c:pt>
                <c:pt idx="36">
                  <c:v>2013</c:v>
                </c:pt>
                <c:pt idx="48">
                  <c:v>2014</c:v>
                </c:pt>
                <c:pt idx="60">
                  <c:v>2015</c:v>
                </c:pt>
                <c:pt idx="72">
                  <c:v>2016</c:v>
                </c:pt>
              </c:numCache>
            </c:numRef>
          </c:cat>
          <c:val>
            <c:numRef>
              <c:f>'[1]Preços Internos'!$B$4:$B$82</c:f>
              <c:numCache>
                <c:ptCount val="79"/>
                <c:pt idx="0">
                  <c:v>280.75</c:v>
                </c:pt>
                <c:pt idx="1">
                  <c:v>278.68</c:v>
                </c:pt>
                <c:pt idx="2">
                  <c:v>279.7</c:v>
                </c:pt>
                <c:pt idx="3">
                  <c:v>282.17</c:v>
                </c:pt>
                <c:pt idx="4">
                  <c:v>289.46</c:v>
                </c:pt>
                <c:pt idx="5">
                  <c:v>305.99</c:v>
                </c:pt>
                <c:pt idx="6">
                  <c:v>302.36</c:v>
                </c:pt>
                <c:pt idx="7">
                  <c:v>313.93318181818177</c:v>
                </c:pt>
                <c:pt idx="8">
                  <c:v>328.23</c:v>
                </c:pt>
                <c:pt idx="9">
                  <c:v>327.15</c:v>
                </c:pt>
                <c:pt idx="10">
                  <c:v>355.51</c:v>
                </c:pt>
                <c:pt idx="11">
                  <c:v>387.01</c:v>
                </c:pt>
                <c:pt idx="12">
                  <c:v>433.34</c:v>
                </c:pt>
                <c:pt idx="13">
                  <c:v>495.98</c:v>
                </c:pt>
                <c:pt idx="14">
                  <c:v>524.27</c:v>
                </c:pt>
                <c:pt idx="15">
                  <c:v>524.41</c:v>
                </c:pt>
                <c:pt idx="16">
                  <c:v>530.76</c:v>
                </c:pt>
                <c:pt idx="17">
                  <c:v>515.01</c:v>
                </c:pt>
                <c:pt idx="18">
                  <c:v>457.81</c:v>
                </c:pt>
                <c:pt idx="19">
                  <c:v>470.62</c:v>
                </c:pt>
                <c:pt idx="20">
                  <c:v>511.57</c:v>
                </c:pt>
                <c:pt idx="21">
                  <c:v>490.45</c:v>
                </c:pt>
                <c:pt idx="22">
                  <c:v>493.83</c:v>
                </c:pt>
                <c:pt idx="23">
                  <c:v>491.35</c:v>
                </c:pt>
                <c:pt idx="24">
                  <c:v>485.04</c:v>
                </c:pt>
                <c:pt idx="25">
                  <c:v>441.31</c:v>
                </c:pt>
                <c:pt idx="26">
                  <c:v>387.49</c:v>
                </c:pt>
                <c:pt idx="27">
                  <c:v>379.53</c:v>
                </c:pt>
                <c:pt idx="28">
                  <c:v>382.65</c:v>
                </c:pt>
                <c:pt idx="29">
                  <c:v>360.31</c:v>
                </c:pt>
                <c:pt idx="30">
                  <c:v>408.06</c:v>
                </c:pt>
                <c:pt idx="31">
                  <c:v>378.48</c:v>
                </c:pt>
                <c:pt idx="32">
                  <c:v>385.92</c:v>
                </c:pt>
                <c:pt idx="33">
                  <c:v>374.98</c:v>
                </c:pt>
                <c:pt idx="34">
                  <c:v>355.23</c:v>
                </c:pt>
                <c:pt idx="35">
                  <c:v>341.4</c:v>
                </c:pt>
                <c:pt idx="36">
                  <c:v>341.16</c:v>
                </c:pt>
                <c:pt idx="37">
                  <c:v>317.72</c:v>
                </c:pt>
                <c:pt idx="38">
                  <c:v>303.42</c:v>
                </c:pt>
                <c:pt idx="39">
                  <c:v>300.51</c:v>
                </c:pt>
                <c:pt idx="40">
                  <c:v>297.25</c:v>
                </c:pt>
                <c:pt idx="41">
                  <c:v>285.71</c:v>
                </c:pt>
                <c:pt idx="42">
                  <c:v>287.57</c:v>
                </c:pt>
                <c:pt idx="43">
                  <c:v>286.17</c:v>
                </c:pt>
                <c:pt idx="44">
                  <c:v>273.9</c:v>
                </c:pt>
                <c:pt idx="45">
                  <c:v>253.94</c:v>
                </c:pt>
                <c:pt idx="46">
                  <c:v>247.73</c:v>
                </c:pt>
                <c:pt idx="47">
                  <c:v>272.1</c:v>
                </c:pt>
                <c:pt idx="48">
                  <c:v>289.44</c:v>
                </c:pt>
                <c:pt idx="49">
                  <c:v>366.32</c:v>
                </c:pt>
                <c:pt idx="50">
                  <c:v>437.24</c:v>
                </c:pt>
                <c:pt idx="51">
                  <c:v>449.45</c:v>
                </c:pt>
                <c:pt idx="52">
                  <c:v>429.28</c:v>
                </c:pt>
                <c:pt idx="53">
                  <c:v>396.74</c:v>
                </c:pt>
                <c:pt idx="54">
                  <c:v>387.87</c:v>
                </c:pt>
                <c:pt idx="55">
                  <c:v>437.19</c:v>
                </c:pt>
                <c:pt idx="56">
                  <c:v>433.52</c:v>
                </c:pt>
                <c:pt idx="57">
                  <c:v>480.13</c:v>
                </c:pt>
                <c:pt idx="58">
                  <c:v>460.96</c:v>
                </c:pt>
                <c:pt idx="59">
                  <c:v>455.2</c:v>
                </c:pt>
                <c:pt idx="60">
                  <c:v>465.92</c:v>
                </c:pt>
                <c:pt idx="61">
                  <c:v>459.99</c:v>
                </c:pt>
                <c:pt idx="62">
                  <c:v>447.1</c:v>
                </c:pt>
                <c:pt idx="63">
                  <c:v>445.69</c:v>
                </c:pt>
                <c:pt idx="64">
                  <c:v>421.95</c:v>
                </c:pt>
                <c:pt idx="65">
                  <c:v>424.02</c:v>
                </c:pt>
                <c:pt idx="66">
                  <c:v>414.5</c:v>
                </c:pt>
                <c:pt idx="67">
                  <c:v>455.5</c:v>
                </c:pt>
                <c:pt idx="68">
                  <c:v>456.95</c:v>
                </c:pt>
                <c:pt idx="69">
                  <c:v>478.11</c:v>
                </c:pt>
                <c:pt idx="70">
                  <c:v>469.39</c:v>
                </c:pt>
                <c:pt idx="71">
                  <c:v>479.32</c:v>
                </c:pt>
                <c:pt idx="72">
                  <c:v>491.31</c:v>
                </c:pt>
                <c:pt idx="73">
                  <c:v>489.82</c:v>
                </c:pt>
                <c:pt idx="74">
                  <c:v>491.07</c:v>
                </c:pt>
                <c:pt idx="75">
                  <c:v>463.71</c:v>
                </c:pt>
                <c:pt idx="76">
                  <c:v>460.37</c:v>
                </c:pt>
                <c:pt idx="77">
                  <c:v>484.87</c:v>
                </c:pt>
                <c:pt idx="78">
                  <c:v>498.52</c:v>
                </c:pt>
              </c:numCache>
            </c:numRef>
          </c:val>
          <c:smooth val="0"/>
        </c:ser>
        <c:ser>
          <c:idx val="1"/>
          <c:order val="1"/>
          <c:tx>
            <c:strRef>
              <c:f>'[1]Preços Internos'!$C$3</c:f>
              <c:strCache>
                <c:ptCount val="1"/>
                <c:pt idx="0">
                  <c:v>Robusta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numRef>
              <c:f>'[1]Preços Internos'!$A$4:$A$82</c:f>
              <c:numCache>
                <c:ptCount val="79"/>
                <c:pt idx="0">
                  <c:v>2010</c:v>
                </c:pt>
                <c:pt idx="12">
                  <c:v>2011</c:v>
                </c:pt>
                <c:pt idx="24">
                  <c:v>2012</c:v>
                </c:pt>
                <c:pt idx="36">
                  <c:v>2013</c:v>
                </c:pt>
                <c:pt idx="48">
                  <c:v>2014</c:v>
                </c:pt>
                <c:pt idx="60">
                  <c:v>2015</c:v>
                </c:pt>
                <c:pt idx="72">
                  <c:v>2016</c:v>
                </c:pt>
              </c:numCache>
            </c:numRef>
          </c:cat>
          <c:val>
            <c:numRef>
              <c:f>'[1]Preços Internos'!$C$4:$C$82</c:f>
              <c:numCache>
                <c:ptCount val="79"/>
                <c:pt idx="0">
                  <c:v>173.51</c:v>
                </c:pt>
                <c:pt idx="1">
                  <c:v>168.47</c:v>
                </c:pt>
                <c:pt idx="2">
                  <c:v>173.67</c:v>
                </c:pt>
                <c:pt idx="3">
                  <c:v>158.22</c:v>
                </c:pt>
                <c:pt idx="4">
                  <c:v>160.51</c:v>
                </c:pt>
                <c:pt idx="5">
                  <c:v>168.17</c:v>
                </c:pt>
                <c:pt idx="6">
                  <c:v>171.5</c:v>
                </c:pt>
                <c:pt idx="7">
                  <c:v>171.44545454545457</c:v>
                </c:pt>
                <c:pt idx="8">
                  <c:v>170.03</c:v>
                </c:pt>
                <c:pt idx="9">
                  <c:v>173.81</c:v>
                </c:pt>
                <c:pt idx="10">
                  <c:v>187.14</c:v>
                </c:pt>
                <c:pt idx="11">
                  <c:v>192.83</c:v>
                </c:pt>
                <c:pt idx="12">
                  <c:v>206.21</c:v>
                </c:pt>
                <c:pt idx="13">
                  <c:v>214.32</c:v>
                </c:pt>
                <c:pt idx="14">
                  <c:v>215.81</c:v>
                </c:pt>
                <c:pt idx="15">
                  <c:v>220.82</c:v>
                </c:pt>
                <c:pt idx="16">
                  <c:v>231.69</c:v>
                </c:pt>
                <c:pt idx="17">
                  <c:v>226.82</c:v>
                </c:pt>
                <c:pt idx="18">
                  <c:v>218.48</c:v>
                </c:pt>
                <c:pt idx="19">
                  <c:v>222.01</c:v>
                </c:pt>
                <c:pt idx="20">
                  <c:v>233</c:v>
                </c:pt>
                <c:pt idx="21">
                  <c:v>244.15</c:v>
                </c:pt>
                <c:pt idx="22">
                  <c:v>269.29</c:v>
                </c:pt>
                <c:pt idx="23">
                  <c:v>297.26</c:v>
                </c:pt>
                <c:pt idx="24">
                  <c:v>296.51</c:v>
                </c:pt>
                <c:pt idx="25">
                  <c:v>270.64</c:v>
                </c:pt>
                <c:pt idx="26">
                  <c:v>255.29</c:v>
                </c:pt>
                <c:pt idx="27">
                  <c:v>248.66</c:v>
                </c:pt>
                <c:pt idx="28">
                  <c:v>253.75</c:v>
                </c:pt>
                <c:pt idx="29">
                  <c:v>252.44</c:v>
                </c:pt>
                <c:pt idx="30">
                  <c:v>275.2</c:v>
                </c:pt>
                <c:pt idx="31">
                  <c:v>276.83</c:v>
                </c:pt>
                <c:pt idx="32">
                  <c:v>287.52</c:v>
                </c:pt>
                <c:pt idx="33">
                  <c:v>283.42</c:v>
                </c:pt>
                <c:pt idx="34">
                  <c:v>266.14</c:v>
                </c:pt>
                <c:pt idx="35">
                  <c:v>256.61</c:v>
                </c:pt>
                <c:pt idx="36">
                  <c:v>267.21454545454543</c:v>
                </c:pt>
                <c:pt idx="37">
                  <c:v>264.98</c:v>
                </c:pt>
                <c:pt idx="38">
                  <c:v>253.2</c:v>
                </c:pt>
                <c:pt idx="39">
                  <c:v>250.32</c:v>
                </c:pt>
                <c:pt idx="40">
                  <c:v>250.88</c:v>
                </c:pt>
                <c:pt idx="41">
                  <c:v>245.09</c:v>
                </c:pt>
                <c:pt idx="42">
                  <c:v>248.91</c:v>
                </c:pt>
                <c:pt idx="43">
                  <c:v>253.22</c:v>
                </c:pt>
                <c:pt idx="44">
                  <c:v>236.24</c:v>
                </c:pt>
                <c:pt idx="45">
                  <c:v>205.23</c:v>
                </c:pt>
                <c:pt idx="46">
                  <c:v>198.83</c:v>
                </c:pt>
                <c:pt idx="47">
                  <c:v>223.11</c:v>
                </c:pt>
                <c:pt idx="48">
                  <c:v>226.82</c:v>
                </c:pt>
                <c:pt idx="49">
                  <c:v>243.48</c:v>
                </c:pt>
                <c:pt idx="50">
                  <c:v>263.25</c:v>
                </c:pt>
                <c:pt idx="51">
                  <c:v>256.77</c:v>
                </c:pt>
                <c:pt idx="52">
                  <c:v>245.82</c:v>
                </c:pt>
                <c:pt idx="53">
                  <c:v>235.14</c:v>
                </c:pt>
                <c:pt idx="54">
                  <c:v>242.3</c:v>
                </c:pt>
                <c:pt idx="55">
                  <c:v>248.42</c:v>
                </c:pt>
                <c:pt idx="56">
                  <c:v>250.1</c:v>
                </c:pt>
                <c:pt idx="57">
                  <c:v>264.25</c:v>
                </c:pt>
                <c:pt idx="58">
                  <c:v>277.02</c:v>
                </c:pt>
                <c:pt idx="59">
                  <c:v>275.25</c:v>
                </c:pt>
                <c:pt idx="60">
                  <c:v>283.29</c:v>
                </c:pt>
                <c:pt idx="61">
                  <c:v>299.58</c:v>
                </c:pt>
                <c:pt idx="62">
                  <c:v>303.44</c:v>
                </c:pt>
                <c:pt idx="63">
                  <c:v>295.88</c:v>
                </c:pt>
                <c:pt idx="64">
                  <c:v>290.33</c:v>
                </c:pt>
                <c:pt idx="65">
                  <c:v>301.03</c:v>
                </c:pt>
                <c:pt idx="66">
                  <c:v>307.41</c:v>
                </c:pt>
                <c:pt idx="67">
                  <c:v>324.95</c:v>
                </c:pt>
                <c:pt idx="68">
                  <c:v>340.62</c:v>
                </c:pt>
                <c:pt idx="69">
                  <c:v>363.91</c:v>
                </c:pt>
                <c:pt idx="70">
                  <c:v>375.28</c:v>
                </c:pt>
                <c:pt idx="71">
                  <c:v>378.98</c:v>
                </c:pt>
                <c:pt idx="72">
                  <c:v>389.07</c:v>
                </c:pt>
                <c:pt idx="73">
                  <c:v>393.61</c:v>
                </c:pt>
                <c:pt idx="74">
                  <c:v>363.88</c:v>
                </c:pt>
                <c:pt idx="75">
                  <c:v>379.33</c:v>
                </c:pt>
                <c:pt idx="76">
                  <c:v>386.95</c:v>
                </c:pt>
                <c:pt idx="77">
                  <c:v>391.41</c:v>
                </c:pt>
                <c:pt idx="78">
                  <c:v>409.99</c:v>
                </c:pt>
              </c:numCache>
            </c:numRef>
          </c:val>
          <c:smooth val="0"/>
        </c:ser>
        <c:marker val="1"/>
        <c:axId val="45881186"/>
        <c:axId val="10277491"/>
      </c:lineChart>
      <c:catAx>
        <c:axId val="45881186"/>
        <c:scaling>
          <c:orientation val="minMax"/>
        </c:scaling>
        <c:axPos val="b"/>
        <c:delete val="0"/>
        <c:numFmt formatCode="General" sourceLinked="1"/>
        <c:majorTickMark val="out"/>
        <c:minorTickMark val="none"/>
        <c:tickLblPos val="nextTo"/>
        <c:spPr>
          <a:ln w="3175">
            <a:solidFill>
              <a:srgbClr val="808080"/>
            </a:solidFill>
          </a:ln>
        </c:spPr>
        <c:crossAx val="10277491"/>
        <c:crosses val="autoZero"/>
        <c:auto val="1"/>
        <c:lblOffset val="100"/>
        <c:tickLblSkip val="1"/>
        <c:noMultiLvlLbl val="0"/>
      </c:catAx>
      <c:valAx>
        <c:axId val="10277491"/>
        <c:scaling>
          <c:orientation val="minMax"/>
          <c:min val="1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881186"/>
        <c:crossesAt val="1"/>
        <c:crossBetween val="between"/>
        <c:dispUnits/>
      </c:valAx>
      <c:spPr>
        <a:solidFill>
          <a:srgbClr val="FFFFFF"/>
        </a:solidFill>
        <a:ln w="3175">
          <a:noFill/>
        </a:ln>
      </c:spPr>
    </c:plotArea>
    <c:legend>
      <c:legendPos val="r"/>
      <c:layout>
        <c:manualLayout>
          <c:xMode val="edge"/>
          <c:yMode val="edge"/>
          <c:x val="0.23275"/>
          <c:y val="0.165"/>
          <c:w val="0.49125"/>
          <c:h val="0.06875"/>
        </c:manualLayout>
      </c:layout>
      <c:overlay val="0"/>
      <c:spPr>
        <a:noFill/>
        <a:ln w="3175">
          <a:noFill/>
        </a:ln>
      </c:spPr>
    </c:legend>
    <c:plotVisOnly val="1"/>
    <c:dispBlanksAs val="gap"/>
    <c:showDLblsOverMax val="0"/>
  </c:chart>
  <c:spPr>
    <a:solidFill>
      <a:srgbClr val="C6D9F1"/>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Receita Cambial 2016/15</a:t>
            </a:r>
          </a:p>
        </c:rich>
      </c:tx>
      <c:layout>
        <c:manualLayout>
          <c:xMode val="factor"/>
          <c:yMode val="factor"/>
          <c:x val="-0.01"/>
          <c:y val="0.00475"/>
        </c:manualLayout>
      </c:layout>
      <c:spPr>
        <a:noFill/>
        <a:ln w="3175">
          <a:noFill/>
        </a:ln>
      </c:spPr>
    </c:title>
    <c:plotArea>
      <c:layout>
        <c:manualLayout>
          <c:xMode val="edge"/>
          <c:yMode val="edge"/>
          <c:x val="0.011"/>
          <c:y val="0.1515"/>
          <c:w val="0.81975"/>
          <c:h val="0.76425"/>
        </c:manualLayout>
      </c:layout>
      <c:barChart>
        <c:barDir val="col"/>
        <c:grouping val="clustered"/>
        <c:varyColors val="0"/>
        <c:ser>
          <c:idx val="0"/>
          <c:order val="0"/>
          <c:tx>
            <c:v>2016 Receita</c:v>
          </c:tx>
          <c:spPr>
            <a:solidFill>
              <a:srgbClr val="007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'14.Exp. Verde'!$C$6:$C$12</c:f>
              <c:numCache/>
            </c:numRef>
          </c:val>
        </c:ser>
        <c:ser>
          <c:idx val="1"/>
          <c:order val="1"/>
          <c:tx>
            <c:v>2015 Receita</c:v>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('14.Exp. Verde'!$F$6:$F$12,'14.Exp. Verde'!$F$14:$F$18)</c:f>
              <c:numCache/>
            </c:numRef>
          </c:val>
        </c:ser>
        <c:axId val="25388556"/>
        <c:axId val="27170413"/>
      </c:barChart>
      <c:catAx>
        <c:axId val="2538855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Mês</a:t>
                </a:r>
              </a:p>
            </c:rich>
          </c:tx>
          <c:layout>
            <c:manualLayout>
              <c:xMode val="factor"/>
              <c:yMode val="factor"/>
              <c:x val="-0.00325"/>
              <c:y val="-0.014"/>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crossAx val="27170413"/>
        <c:crosses val="autoZero"/>
        <c:auto val="1"/>
        <c:lblOffset val="100"/>
        <c:tickLblSkip val="1"/>
        <c:noMultiLvlLbl val="0"/>
      </c:catAx>
      <c:valAx>
        <c:axId val="2717041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crossAx val="25388556"/>
        <c:crossesAt val="1"/>
        <c:crossBetween val="between"/>
        <c:dispUnits/>
      </c:valAx>
      <c:spPr>
        <a:solidFill>
          <a:srgbClr val="C0C0C0"/>
        </a:solidFill>
        <a:ln w="12700">
          <a:solidFill>
            <a:srgbClr val="808080"/>
          </a:solidFill>
        </a:ln>
      </c:spPr>
    </c:plotArea>
    <c:legend>
      <c:legendPos val="r"/>
      <c:layout>
        <c:manualLayout>
          <c:xMode val="edge"/>
          <c:yMode val="edge"/>
          <c:x val="0.8495"/>
          <c:y val="0.18275"/>
          <c:w val="0.13825"/>
          <c:h val="0.6345"/>
        </c:manualLayout>
      </c:layout>
      <c:overlay val="0"/>
      <c:spPr>
        <a:solidFill>
          <a:srgbClr val="FFFFFF"/>
        </a:solidFill>
        <a:ln w="25400">
          <a:solidFill>
            <a:srgbClr val="993366"/>
          </a:solidFill>
        </a:ln>
      </c:spPr>
      <c:txPr>
        <a:bodyPr vert="horz" rot="0"/>
        <a:lstStyle/>
        <a:p>
          <a:pPr>
            <a:defRPr lang="en-US" cap="none" sz="800" b="0" i="0" u="none" baseline="0">
              <a:solidFill>
                <a:srgbClr val="000000"/>
              </a:solidFill>
            </a:defRPr>
          </a:pPr>
        </a:p>
      </c:txPr>
    </c:legend>
    <c:plotVisOnly val="1"/>
    <c:dispBlanksAs val="gap"/>
    <c:showDLblsOverMax val="0"/>
  </c:chart>
  <c:spPr>
    <a:blipFill>
      <a:blip r:embed="rId1"/>
      <a:srcRect/>
      <a:tile sx="100000" sy="100000" flip="none" algn="tl"/>
    </a:blip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Volume 2016/15</a:t>
            </a:r>
          </a:p>
        </c:rich>
      </c:tx>
      <c:layout>
        <c:manualLayout>
          <c:xMode val="factor"/>
          <c:yMode val="factor"/>
          <c:x val="0.0025"/>
          <c:y val="-0.00475"/>
        </c:manualLayout>
      </c:layout>
      <c:spPr>
        <a:noFill/>
        <a:ln w="3175">
          <a:noFill/>
        </a:ln>
      </c:spPr>
    </c:title>
    <c:plotArea>
      <c:layout>
        <c:manualLayout>
          <c:xMode val="edge"/>
          <c:yMode val="edge"/>
          <c:x val="-0.00725"/>
          <c:y val="0.1265"/>
          <c:w val="0.82275"/>
          <c:h val="0.835"/>
        </c:manualLayout>
      </c:layout>
      <c:barChart>
        <c:barDir val="col"/>
        <c:grouping val="clustered"/>
        <c:varyColors val="0"/>
        <c:ser>
          <c:idx val="0"/>
          <c:order val="0"/>
          <c:tx>
            <c:v>2016 Volume</c:v>
          </c:tx>
          <c:spPr>
            <a:solidFill>
              <a:srgbClr val="007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'14.Exp. Verde'!$D$6:$D$12</c:f>
              <c:numCache/>
            </c:numRef>
          </c:val>
        </c:ser>
        <c:ser>
          <c:idx val="1"/>
          <c:order val="1"/>
          <c:tx>
            <c:v>2015 Volume</c:v>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('14.Exp. Verde'!$G$6:$G$12,'14.Exp. Verde'!$G$14:$G$18)</c:f>
              <c:numCache/>
            </c:numRef>
          </c:val>
        </c:ser>
        <c:axId val="43207126"/>
        <c:axId val="53319815"/>
      </c:barChart>
      <c:catAx>
        <c:axId val="4320712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Mês</a:t>
                </a:r>
              </a:p>
            </c:rich>
          </c:tx>
          <c:layout>
            <c:manualLayout>
              <c:xMode val="factor"/>
              <c:yMode val="factor"/>
              <c:x val="-0.0045"/>
              <c:y val="-0.011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53319815"/>
        <c:crosses val="autoZero"/>
        <c:auto val="1"/>
        <c:lblOffset val="100"/>
        <c:tickLblSkip val="1"/>
        <c:noMultiLvlLbl val="0"/>
      </c:catAx>
      <c:valAx>
        <c:axId val="5331981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3207126"/>
        <c:crossesAt val="1"/>
        <c:crossBetween val="between"/>
        <c:dispUnits/>
      </c:valAx>
      <c:spPr>
        <a:solidFill>
          <a:srgbClr val="C0C0C0"/>
        </a:solidFill>
        <a:ln w="12700">
          <a:solidFill>
            <a:srgbClr val="808080"/>
          </a:solidFill>
        </a:ln>
      </c:spPr>
    </c:plotArea>
    <c:legend>
      <c:legendPos val="r"/>
      <c:layout>
        <c:manualLayout>
          <c:xMode val="edge"/>
          <c:yMode val="edge"/>
          <c:x val="0.84775"/>
          <c:y val="0.181"/>
          <c:w val="0.13525"/>
          <c:h val="0.64275"/>
        </c:manualLayout>
      </c:layout>
      <c:overlay val="0"/>
      <c:spPr>
        <a:solidFill>
          <a:srgbClr val="FFFFFF"/>
        </a:solidFill>
        <a:ln w="25400">
          <a:solidFill>
            <a:srgbClr val="993366"/>
          </a:solidFill>
        </a:ln>
      </c:spPr>
      <c:txPr>
        <a:bodyPr vert="horz" rot="0"/>
        <a:lstStyle/>
        <a:p>
          <a:pPr>
            <a:defRPr lang="en-US" cap="none" sz="800" b="0" i="0" u="none" baseline="0">
              <a:solidFill>
                <a:srgbClr val="000000"/>
              </a:solidFill>
            </a:defRPr>
          </a:pPr>
        </a:p>
      </c:txPr>
    </c:legend>
    <c:plotVisOnly val="1"/>
    <c:dispBlanksAs val="gap"/>
    <c:showDLblsOverMax val="0"/>
  </c:chart>
  <c:spPr>
    <a:blipFill>
      <a:blip r:embed="rId1"/>
      <a:srcRect/>
      <a:tile sx="100000" sy="100000" flip="none" algn="tl"/>
    </a:blip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Volume 2016/15</a:t>
            </a:r>
          </a:p>
        </c:rich>
      </c:tx>
      <c:layout>
        <c:manualLayout>
          <c:xMode val="factor"/>
          <c:yMode val="factor"/>
          <c:x val="0.0025"/>
          <c:y val="0"/>
        </c:manualLayout>
      </c:layout>
      <c:spPr>
        <a:noFill/>
        <a:ln w="3175">
          <a:noFill/>
        </a:ln>
      </c:spPr>
    </c:title>
    <c:plotArea>
      <c:layout>
        <c:manualLayout>
          <c:xMode val="edge"/>
          <c:yMode val="edge"/>
          <c:x val="0.01575"/>
          <c:y val="0.099"/>
          <c:w val="0.8035"/>
          <c:h val="0.785"/>
        </c:manualLayout>
      </c:layout>
      <c:barChart>
        <c:barDir val="col"/>
        <c:grouping val="clustered"/>
        <c:varyColors val="0"/>
        <c:ser>
          <c:idx val="0"/>
          <c:order val="0"/>
          <c:tx>
            <c:v>2016 Volume</c:v>
          </c:tx>
          <c:spPr>
            <a:solidFill>
              <a:srgbClr val="007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'15.Exp. Solúvel'!$D$6:$D$12</c:f>
              <c:numCache/>
            </c:numRef>
          </c:val>
        </c:ser>
        <c:ser>
          <c:idx val="1"/>
          <c:order val="1"/>
          <c:tx>
            <c:v>2015 Volume</c:v>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('15.Exp. Solúvel'!$G$6:$G$12,'15.Exp. Solúvel'!$G$14:$G$18)</c:f>
              <c:numCache/>
            </c:numRef>
          </c:val>
        </c:ser>
        <c:axId val="10116288"/>
        <c:axId val="23937729"/>
      </c:barChart>
      <c:catAx>
        <c:axId val="1011628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Mês</a:t>
                </a:r>
              </a:p>
            </c:rich>
          </c:tx>
          <c:layout>
            <c:manualLayout>
              <c:xMode val="factor"/>
              <c:yMode val="factor"/>
              <c:x val="-0.01425"/>
              <c:y val="-0.011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23937729"/>
        <c:crosses val="autoZero"/>
        <c:auto val="1"/>
        <c:lblOffset val="100"/>
        <c:tickLblSkip val="1"/>
        <c:noMultiLvlLbl val="0"/>
      </c:catAx>
      <c:valAx>
        <c:axId val="2393772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116288"/>
        <c:crossesAt val="1"/>
        <c:crossBetween val="between"/>
        <c:dispUnits/>
      </c:valAx>
      <c:spPr>
        <a:solidFill>
          <a:srgbClr val="C0C0C0"/>
        </a:solidFill>
        <a:ln w="12700">
          <a:solidFill>
            <a:srgbClr val="808080"/>
          </a:solidFill>
        </a:ln>
      </c:spPr>
    </c:plotArea>
    <c:legend>
      <c:legendPos val="r"/>
      <c:layout>
        <c:manualLayout>
          <c:xMode val="edge"/>
          <c:yMode val="edge"/>
          <c:x val="0.84625"/>
          <c:y val="0.14025"/>
          <c:w val="0.1415"/>
          <c:h val="0.61675"/>
        </c:manualLayout>
      </c:layout>
      <c:overlay val="0"/>
      <c:spPr>
        <a:solidFill>
          <a:srgbClr val="FFFFFF"/>
        </a:solidFill>
        <a:ln w="25400">
          <a:solidFill>
            <a:srgbClr val="993366"/>
          </a:solidFill>
        </a:ln>
      </c:spPr>
      <c:txPr>
        <a:bodyPr vert="horz" rot="0"/>
        <a:lstStyle/>
        <a:p>
          <a:pPr>
            <a:defRPr lang="en-US" cap="none" sz="800" b="0" i="0" u="none" baseline="0">
              <a:solidFill>
                <a:srgbClr val="000000"/>
              </a:solidFill>
            </a:defRPr>
          </a:pPr>
        </a:p>
      </c:txPr>
    </c:legend>
    <c:plotVisOnly val="1"/>
    <c:dispBlanksAs val="gap"/>
    <c:showDLblsOverMax val="0"/>
  </c:chart>
  <c:spPr>
    <a:blipFill>
      <a:blip r:embed="rId1"/>
      <a:srcRect/>
      <a:tile sx="100000" sy="100000" flip="none" algn="tl"/>
    </a:blip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Receita Cambial 2016/15</a:t>
            </a:r>
          </a:p>
        </c:rich>
      </c:tx>
      <c:layout>
        <c:manualLayout>
          <c:xMode val="factor"/>
          <c:yMode val="factor"/>
          <c:x val="0"/>
          <c:y val="0.00475"/>
        </c:manualLayout>
      </c:layout>
      <c:spPr>
        <a:noFill/>
        <a:ln w="3175">
          <a:noFill/>
        </a:ln>
      </c:spPr>
    </c:title>
    <c:plotArea>
      <c:layout>
        <c:manualLayout>
          <c:xMode val="edge"/>
          <c:yMode val="edge"/>
          <c:x val="0.01525"/>
          <c:y val="0.10225"/>
          <c:w val="0.81475"/>
          <c:h val="0.812"/>
        </c:manualLayout>
      </c:layout>
      <c:barChart>
        <c:barDir val="col"/>
        <c:grouping val="clustered"/>
        <c:varyColors val="0"/>
        <c:ser>
          <c:idx val="0"/>
          <c:order val="0"/>
          <c:tx>
            <c:v>2016 Receita</c:v>
          </c:tx>
          <c:spPr>
            <a:solidFill>
              <a:srgbClr val="007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'15.Exp. Solúvel'!$C$6:$C$12</c:f>
              <c:numCache/>
            </c:numRef>
          </c:val>
        </c:ser>
        <c:ser>
          <c:idx val="1"/>
          <c:order val="1"/>
          <c:tx>
            <c:v>2015 Receita</c:v>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('15.Exp. Solúvel'!$F$6:$F$12,'15.Exp. Solúvel'!$F$14:$F$18)</c:f>
              <c:numCache/>
            </c:numRef>
          </c:val>
        </c:ser>
        <c:axId val="14112970"/>
        <c:axId val="59907867"/>
      </c:barChart>
      <c:catAx>
        <c:axId val="1411297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Mês</a:t>
                </a:r>
              </a:p>
            </c:rich>
          </c:tx>
          <c:layout>
            <c:manualLayout>
              <c:xMode val="factor"/>
              <c:yMode val="factor"/>
              <c:x val="-0.003"/>
              <c:y val="-0.013"/>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crossAx val="59907867"/>
        <c:crosses val="autoZero"/>
        <c:auto val="1"/>
        <c:lblOffset val="100"/>
        <c:tickLblSkip val="1"/>
        <c:noMultiLvlLbl val="0"/>
      </c:catAx>
      <c:valAx>
        <c:axId val="5990786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crossAx val="14112970"/>
        <c:crossesAt val="1"/>
        <c:crossBetween val="between"/>
        <c:dispUnits/>
      </c:valAx>
      <c:spPr>
        <a:solidFill>
          <a:srgbClr val="C0C0C0"/>
        </a:solidFill>
        <a:ln w="12700">
          <a:solidFill>
            <a:srgbClr val="808080"/>
          </a:solidFill>
        </a:ln>
      </c:spPr>
    </c:plotArea>
    <c:legend>
      <c:legendPos val="r"/>
      <c:layout>
        <c:manualLayout>
          <c:xMode val="edge"/>
          <c:yMode val="edge"/>
          <c:x val="0.85075"/>
          <c:y val="0.14625"/>
          <c:w val="0.13875"/>
          <c:h val="0.67925"/>
        </c:manualLayout>
      </c:layout>
      <c:overlay val="0"/>
      <c:spPr>
        <a:solidFill>
          <a:srgbClr val="FFFFFF"/>
        </a:solidFill>
        <a:ln w="25400">
          <a:solidFill>
            <a:srgbClr val="993366"/>
          </a:solidFill>
        </a:ln>
      </c:spPr>
      <c:txPr>
        <a:bodyPr vert="horz" rot="0"/>
        <a:lstStyle/>
        <a:p>
          <a:pPr>
            <a:defRPr lang="en-US" cap="none" sz="800" b="0" i="0" u="none" baseline="0">
              <a:solidFill>
                <a:srgbClr val="000000"/>
              </a:solidFill>
            </a:defRPr>
          </a:pPr>
        </a:p>
      </c:txPr>
    </c:legend>
    <c:plotVisOnly val="1"/>
    <c:dispBlanksAs val="gap"/>
    <c:showDLblsOverMax val="0"/>
  </c:chart>
  <c:spPr>
    <a:blipFill>
      <a:blip r:embed="rId1"/>
      <a:srcRect/>
      <a:tile sx="100000" sy="100000" flip="none" algn="tl"/>
    </a:blip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Receita Cambial 2016/15</a:t>
            </a:r>
          </a:p>
        </c:rich>
      </c:tx>
      <c:layout>
        <c:manualLayout>
          <c:xMode val="factor"/>
          <c:yMode val="factor"/>
          <c:x val="0.0055"/>
          <c:y val="0.00475"/>
        </c:manualLayout>
      </c:layout>
      <c:spPr>
        <a:noFill/>
        <a:ln w="3175">
          <a:noFill/>
        </a:ln>
      </c:spPr>
    </c:title>
    <c:plotArea>
      <c:layout>
        <c:manualLayout>
          <c:xMode val="edge"/>
          <c:yMode val="edge"/>
          <c:x val="0.03"/>
          <c:y val="0.157"/>
          <c:w val="0.79925"/>
          <c:h val="0.7615"/>
        </c:manualLayout>
      </c:layout>
      <c:barChart>
        <c:barDir val="col"/>
        <c:grouping val="clustered"/>
        <c:varyColors val="0"/>
        <c:ser>
          <c:idx val="0"/>
          <c:order val="0"/>
          <c:tx>
            <c:v>2016 Receita</c:v>
          </c:tx>
          <c:spPr>
            <a:solidFill>
              <a:srgbClr val="007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'16.Exp. Torrado'!$C$6:$C$12</c:f>
              <c:numCache/>
            </c:numRef>
          </c:val>
        </c:ser>
        <c:ser>
          <c:idx val="1"/>
          <c:order val="1"/>
          <c:tx>
            <c:v>2015 Receita</c:v>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('16.Exp. Torrado'!$F$6:$F$12,'16.Exp. Torrado'!$F$14:$F$18)</c:f>
              <c:numCache/>
            </c:numRef>
          </c:val>
        </c:ser>
        <c:axId val="2299892"/>
        <c:axId val="20699029"/>
      </c:barChart>
      <c:catAx>
        <c:axId val="2299892"/>
        <c:scaling>
          <c:orientation val="minMax"/>
        </c:scaling>
        <c:axPos val="b"/>
        <c:title>
          <c:tx>
            <c:rich>
              <a:bodyPr vert="horz" rot="0" anchor="ctr"/>
              <a:lstStyle/>
              <a:p>
                <a:pPr algn="ctr">
                  <a:defRPr/>
                </a:pPr>
                <a:r>
                  <a:rPr lang="en-US" cap="none" sz="575" b="1" i="0" u="none" baseline="0">
                    <a:solidFill>
                      <a:srgbClr val="000000"/>
                    </a:solidFill>
                    <a:latin typeface="Arial"/>
                    <a:ea typeface="Arial"/>
                    <a:cs typeface="Arial"/>
                  </a:rPr>
                  <a:t>Mês</a:t>
                </a:r>
              </a:p>
            </c:rich>
          </c:tx>
          <c:layout>
            <c:manualLayout>
              <c:xMode val="factor"/>
              <c:yMode val="factor"/>
              <c:x val="-0.008"/>
              <c:y val="-0.015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crossAx val="20699029"/>
        <c:crosses val="autoZero"/>
        <c:auto val="1"/>
        <c:lblOffset val="100"/>
        <c:tickLblSkip val="1"/>
        <c:noMultiLvlLbl val="0"/>
      </c:catAx>
      <c:valAx>
        <c:axId val="2069902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crossAx val="2299892"/>
        <c:crossesAt val="1"/>
        <c:crossBetween val="between"/>
        <c:dispUnits/>
      </c:valAx>
      <c:spPr>
        <a:solidFill>
          <a:srgbClr val="C0C0C0"/>
        </a:solidFill>
        <a:ln w="12700">
          <a:solidFill>
            <a:srgbClr val="808080"/>
          </a:solidFill>
        </a:ln>
      </c:spPr>
    </c:plotArea>
    <c:legend>
      <c:legendPos val="r"/>
      <c:layout>
        <c:manualLayout>
          <c:xMode val="edge"/>
          <c:yMode val="edge"/>
          <c:x val="0.85325"/>
          <c:y val="0.18875"/>
          <c:w val="0.1385"/>
          <c:h val="0.63675"/>
        </c:manualLayout>
      </c:layout>
      <c:overlay val="0"/>
      <c:spPr>
        <a:solidFill>
          <a:srgbClr val="FFFFFF"/>
        </a:solidFill>
        <a:ln w="25400">
          <a:solidFill>
            <a:srgbClr val="993366"/>
          </a:solidFill>
        </a:ln>
      </c:spPr>
      <c:txPr>
        <a:bodyPr vert="horz" rot="0"/>
        <a:lstStyle/>
        <a:p>
          <a:pPr>
            <a:defRPr lang="en-US" cap="none" sz="800" b="0" i="0" u="none" baseline="0">
              <a:solidFill>
                <a:srgbClr val="000000"/>
              </a:solidFill>
            </a:defRPr>
          </a:pPr>
        </a:p>
      </c:txPr>
    </c:legend>
    <c:plotVisOnly val="1"/>
    <c:dispBlanksAs val="gap"/>
    <c:showDLblsOverMax val="0"/>
  </c:chart>
  <c:spPr>
    <a:blipFill>
      <a:blip r:embed="rId1"/>
      <a:srcRect/>
      <a:tile sx="100000" sy="100000" flip="none" algn="tl"/>
    </a:blip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1.xml.rels><?xml version="1.0" encoding="utf-8" standalone="yes"?><Relationships xmlns="http://schemas.openxmlformats.org/package/2006/relationships"><Relationship Id="rId1" Type="http://schemas.openxmlformats.org/officeDocument/2006/relationships/image" Target="../media/image6.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7.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8.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8.jpeg" /></Relationships>
</file>

<file path=xl/drawings/_rels/drawing1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jpeg" /></Relationships>
</file>

<file path=xl/drawings/_rels/drawing6.xml.rels><?xml version="1.0" encoding="utf-8" standalone="yes"?><Relationships xmlns="http://schemas.openxmlformats.org/package/2006/relationships"><Relationship Id="rId1" Type="http://schemas.openxmlformats.org/officeDocument/2006/relationships/image" Target="../media/image4.emf"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3248025</xdr:colOff>
      <xdr:row>6</xdr:row>
      <xdr:rowOff>190500</xdr:rowOff>
    </xdr:from>
    <xdr:to>
      <xdr:col>1</xdr:col>
      <xdr:colOff>5200650</xdr:colOff>
      <xdr:row>18</xdr:row>
      <xdr:rowOff>57150</xdr:rowOff>
    </xdr:to>
    <xdr:pic>
      <xdr:nvPicPr>
        <xdr:cNvPr id="1" name="Picture 8" descr="LOGO CAFÉS"/>
        <xdr:cNvPicPr preferRelativeResize="1">
          <a:picLocks noChangeAspect="1"/>
        </xdr:cNvPicPr>
      </xdr:nvPicPr>
      <xdr:blipFill>
        <a:blip r:embed="rId1"/>
        <a:stretch>
          <a:fillRect/>
        </a:stretch>
      </xdr:blipFill>
      <xdr:spPr>
        <a:xfrm>
          <a:off x="3429000" y="1466850"/>
          <a:ext cx="1952625" cy="23812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xdr:row>
      <xdr:rowOff>180975</xdr:rowOff>
    </xdr:from>
    <xdr:to>
      <xdr:col>16</xdr:col>
      <xdr:colOff>476250</xdr:colOff>
      <xdr:row>20</xdr:row>
      <xdr:rowOff>47625</xdr:rowOff>
    </xdr:to>
    <xdr:graphicFrame>
      <xdr:nvGraphicFramePr>
        <xdr:cNvPr id="1" name="Gráfico 8"/>
        <xdr:cNvGraphicFramePr/>
      </xdr:nvGraphicFramePr>
      <xdr:xfrm>
        <a:off x="371475" y="409575"/>
        <a:ext cx="8229600" cy="49339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209550</xdr:colOff>
      <xdr:row>1</xdr:row>
      <xdr:rowOff>76200</xdr:rowOff>
    </xdr:from>
    <xdr:to>
      <xdr:col>2</xdr:col>
      <xdr:colOff>581025</xdr:colOff>
      <xdr:row>3</xdr:row>
      <xdr:rowOff>38100</xdr:rowOff>
    </xdr:to>
    <xdr:pic>
      <xdr:nvPicPr>
        <xdr:cNvPr id="1" name="Picture 8" descr="LOGO CAFÉS"/>
        <xdr:cNvPicPr preferRelativeResize="1">
          <a:picLocks noChangeAspect="1"/>
        </xdr:cNvPicPr>
      </xdr:nvPicPr>
      <xdr:blipFill>
        <a:blip r:embed="rId1"/>
        <a:stretch>
          <a:fillRect/>
        </a:stretch>
      </xdr:blipFill>
      <xdr:spPr>
        <a:xfrm>
          <a:off x="571500" y="304800"/>
          <a:ext cx="371475" cy="4572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485775</xdr:colOff>
      <xdr:row>1</xdr:row>
      <xdr:rowOff>114300</xdr:rowOff>
    </xdr:from>
    <xdr:to>
      <xdr:col>8</xdr:col>
      <xdr:colOff>857250</xdr:colOff>
      <xdr:row>3</xdr:row>
      <xdr:rowOff>76200</xdr:rowOff>
    </xdr:to>
    <xdr:pic>
      <xdr:nvPicPr>
        <xdr:cNvPr id="1" name="Picture 8" descr="LOGO CAFÉS"/>
        <xdr:cNvPicPr preferRelativeResize="1">
          <a:picLocks noChangeAspect="1"/>
        </xdr:cNvPicPr>
      </xdr:nvPicPr>
      <xdr:blipFill>
        <a:blip r:embed="rId1"/>
        <a:stretch>
          <a:fillRect/>
        </a:stretch>
      </xdr:blipFill>
      <xdr:spPr>
        <a:xfrm>
          <a:off x="8096250" y="304800"/>
          <a:ext cx="371475" cy="4191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104775</xdr:colOff>
      <xdr:row>1</xdr:row>
      <xdr:rowOff>200025</xdr:rowOff>
    </xdr:from>
    <xdr:to>
      <xdr:col>9</xdr:col>
      <xdr:colOff>523875</xdr:colOff>
      <xdr:row>3</xdr:row>
      <xdr:rowOff>219075</xdr:rowOff>
    </xdr:to>
    <xdr:pic>
      <xdr:nvPicPr>
        <xdr:cNvPr id="1" name="Picture 8" descr="LOGO CAFÉS"/>
        <xdr:cNvPicPr preferRelativeResize="1">
          <a:picLocks noChangeAspect="1"/>
        </xdr:cNvPicPr>
      </xdr:nvPicPr>
      <xdr:blipFill>
        <a:blip r:embed="rId1"/>
        <a:stretch>
          <a:fillRect/>
        </a:stretch>
      </xdr:blipFill>
      <xdr:spPr>
        <a:xfrm>
          <a:off x="8201025" y="390525"/>
          <a:ext cx="419100" cy="4762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609600</xdr:colOff>
      <xdr:row>2</xdr:row>
      <xdr:rowOff>200025</xdr:rowOff>
    </xdr:from>
    <xdr:to>
      <xdr:col>12</xdr:col>
      <xdr:colOff>0</xdr:colOff>
      <xdr:row>6</xdr:row>
      <xdr:rowOff>28575</xdr:rowOff>
    </xdr:to>
    <xdr:pic>
      <xdr:nvPicPr>
        <xdr:cNvPr id="1" name="Picture 8" descr="LOGO CAFÉS"/>
        <xdr:cNvPicPr preferRelativeResize="1">
          <a:picLocks noChangeAspect="1"/>
        </xdr:cNvPicPr>
      </xdr:nvPicPr>
      <xdr:blipFill>
        <a:blip r:embed="rId1"/>
        <a:stretch>
          <a:fillRect/>
        </a:stretch>
      </xdr:blipFill>
      <xdr:spPr>
        <a:xfrm>
          <a:off x="7772400" y="638175"/>
          <a:ext cx="714375" cy="8191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21</xdr:row>
      <xdr:rowOff>104775</xdr:rowOff>
    </xdr:from>
    <xdr:to>
      <xdr:col>6</xdr:col>
      <xdr:colOff>342900</xdr:colOff>
      <xdr:row>32</xdr:row>
      <xdr:rowOff>76200</xdr:rowOff>
    </xdr:to>
    <xdr:graphicFrame>
      <xdr:nvGraphicFramePr>
        <xdr:cNvPr id="1" name="Chart 1"/>
        <xdr:cNvGraphicFramePr/>
      </xdr:nvGraphicFramePr>
      <xdr:xfrm>
        <a:off x="419100" y="3657600"/>
        <a:ext cx="3943350" cy="2066925"/>
      </xdr:xfrm>
      <a:graphic>
        <a:graphicData uri="http://schemas.openxmlformats.org/drawingml/2006/chart">
          <c:chart xmlns:c="http://schemas.openxmlformats.org/drawingml/2006/chart" r:id="rId1"/>
        </a:graphicData>
      </a:graphic>
    </xdr:graphicFrame>
    <xdr:clientData/>
  </xdr:twoCellAnchor>
  <xdr:twoCellAnchor>
    <xdr:from>
      <xdr:col>6</xdr:col>
      <xdr:colOff>542925</xdr:colOff>
      <xdr:row>21</xdr:row>
      <xdr:rowOff>104775</xdr:rowOff>
    </xdr:from>
    <xdr:to>
      <xdr:col>11</xdr:col>
      <xdr:colOff>752475</xdr:colOff>
      <xdr:row>32</xdr:row>
      <xdr:rowOff>95250</xdr:rowOff>
    </xdr:to>
    <xdr:graphicFrame>
      <xdr:nvGraphicFramePr>
        <xdr:cNvPr id="2" name="Chart 2"/>
        <xdr:cNvGraphicFramePr/>
      </xdr:nvGraphicFramePr>
      <xdr:xfrm>
        <a:off x="4562475" y="3657600"/>
        <a:ext cx="3962400" cy="2085975"/>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542925</xdr:colOff>
      <xdr:row>21</xdr:row>
      <xdr:rowOff>66675</xdr:rowOff>
    </xdr:from>
    <xdr:to>
      <xdr:col>11</xdr:col>
      <xdr:colOff>752475</xdr:colOff>
      <xdr:row>32</xdr:row>
      <xdr:rowOff>95250</xdr:rowOff>
    </xdr:to>
    <xdr:graphicFrame>
      <xdr:nvGraphicFramePr>
        <xdr:cNvPr id="1" name="Chart 2"/>
        <xdr:cNvGraphicFramePr/>
      </xdr:nvGraphicFramePr>
      <xdr:xfrm>
        <a:off x="4343400" y="3638550"/>
        <a:ext cx="3924300" cy="2124075"/>
      </xdr:xfrm>
      <a:graphic>
        <a:graphicData uri="http://schemas.openxmlformats.org/drawingml/2006/chart">
          <c:chart xmlns:c="http://schemas.openxmlformats.org/drawingml/2006/chart" r:id="rId1"/>
        </a:graphicData>
      </a:graphic>
    </xdr:graphicFrame>
    <xdr:clientData/>
  </xdr:twoCellAnchor>
  <xdr:twoCellAnchor>
    <xdr:from>
      <xdr:col>1</xdr:col>
      <xdr:colOff>238125</xdr:colOff>
      <xdr:row>21</xdr:row>
      <xdr:rowOff>76200</xdr:rowOff>
    </xdr:from>
    <xdr:to>
      <xdr:col>6</xdr:col>
      <xdr:colOff>371475</xdr:colOff>
      <xdr:row>32</xdr:row>
      <xdr:rowOff>85725</xdr:rowOff>
    </xdr:to>
    <xdr:graphicFrame>
      <xdr:nvGraphicFramePr>
        <xdr:cNvPr id="2" name="Chart 1"/>
        <xdr:cNvGraphicFramePr/>
      </xdr:nvGraphicFramePr>
      <xdr:xfrm>
        <a:off x="447675" y="3648075"/>
        <a:ext cx="3724275" cy="210502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21</xdr:row>
      <xdr:rowOff>66675</xdr:rowOff>
    </xdr:from>
    <xdr:to>
      <xdr:col>6</xdr:col>
      <xdr:colOff>304800</xdr:colOff>
      <xdr:row>32</xdr:row>
      <xdr:rowOff>76200</xdr:rowOff>
    </xdr:to>
    <xdr:graphicFrame>
      <xdr:nvGraphicFramePr>
        <xdr:cNvPr id="1" name="Chart 1"/>
        <xdr:cNvGraphicFramePr/>
      </xdr:nvGraphicFramePr>
      <xdr:xfrm>
        <a:off x="352425" y="3629025"/>
        <a:ext cx="3590925" cy="2105025"/>
      </xdr:xfrm>
      <a:graphic>
        <a:graphicData uri="http://schemas.openxmlformats.org/drawingml/2006/chart">
          <c:chart xmlns:c="http://schemas.openxmlformats.org/drawingml/2006/chart" r:id="rId1"/>
        </a:graphicData>
      </a:graphic>
    </xdr:graphicFrame>
    <xdr:clientData/>
  </xdr:twoCellAnchor>
  <xdr:twoCellAnchor>
    <xdr:from>
      <xdr:col>6</xdr:col>
      <xdr:colOff>542925</xdr:colOff>
      <xdr:row>21</xdr:row>
      <xdr:rowOff>66675</xdr:rowOff>
    </xdr:from>
    <xdr:to>
      <xdr:col>11</xdr:col>
      <xdr:colOff>752475</xdr:colOff>
      <xdr:row>32</xdr:row>
      <xdr:rowOff>95250</xdr:rowOff>
    </xdr:to>
    <xdr:graphicFrame>
      <xdr:nvGraphicFramePr>
        <xdr:cNvPr id="2" name="Chart 2"/>
        <xdr:cNvGraphicFramePr/>
      </xdr:nvGraphicFramePr>
      <xdr:xfrm>
        <a:off x="4181475" y="3629025"/>
        <a:ext cx="3924300" cy="2124075"/>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21</xdr:row>
      <xdr:rowOff>66675</xdr:rowOff>
    </xdr:from>
    <xdr:to>
      <xdr:col>6</xdr:col>
      <xdr:colOff>304800</xdr:colOff>
      <xdr:row>32</xdr:row>
      <xdr:rowOff>76200</xdr:rowOff>
    </xdr:to>
    <xdr:graphicFrame>
      <xdr:nvGraphicFramePr>
        <xdr:cNvPr id="1" name="Chart 1"/>
        <xdr:cNvGraphicFramePr/>
      </xdr:nvGraphicFramePr>
      <xdr:xfrm>
        <a:off x="352425" y="3667125"/>
        <a:ext cx="4029075" cy="2105025"/>
      </xdr:xfrm>
      <a:graphic>
        <a:graphicData uri="http://schemas.openxmlformats.org/drawingml/2006/chart">
          <c:chart xmlns:c="http://schemas.openxmlformats.org/drawingml/2006/chart" r:id="rId1"/>
        </a:graphicData>
      </a:graphic>
    </xdr:graphicFrame>
    <xdr:clientData/>
  </xdr:twoCellAnchor>
  <xdr:twoCellAnchor>
    <xdr:from>
      <xdr:col>6</xdr:col>
      <xdr:colOff>542925</xdr:colOff>
      <xdr:row>21</xdr:row>
      <xdr:rowOff>66675</xdr:rowOff>
    </xdr:from>
    <xdr:to>
      <xdr:col>11</xdr:col>
      <xdr:colOff>752475</xdr:colOff>
      <xdr:row>32</xdr:row>
      <xdr:rowOff>95250</xdr:rowOff>
    </xdr:to>
    <xdr:graphicFrame>
      <xdr:nvGraphicFramePr>
        <xdr:cNvPr id="2" name="Chart 2"/>
        <xdr:cNvGraphicFramePr/>
      </xdr:nvGraphicFramePr>
      <xdr:xfrm>
        <a:off x="4619625" y="3667125"/>
        <a:ext cx="3924300" cy="2124075"/>
      </xdr:xfrm>
      <a:graphic>
        <a:graphicData uri="http://schemas.openxmlformats.org/drawingml/2006/chart">
          <c:chart xmlns:c="http://schemas.openxmlformats.org/drawingml/2006/chart" r:id="rId2"/>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21</xdr:row>
      <xdr:rowOff>66675</xdr:rowOff>
    </xdr:from>
    <xdr:to>
      <xdr:col>9</xdr:col>
      <xdr:colOff>0</xdr:colOff>
      <xdr:row>31</xdr:row>
      <xdr:rowOff>171450</xdr:rowOff>
    </xdr:to>
    <xdr:graphicFrame>
      <xdr:nvGraphicFramePr>
        <xdr:cNvPr id="1" name="Chart 1"/>
        <xdr:cNvGraphicFramePr/>
      </xdr:nvGraphicFramePr>
      <xdr:xfrm>
        <a:off x="352425" y="3705225"/>
        <a:ext cx="4171950" cy="2009775"/>
      </xdr:xfrm>
      <a:graphic>
        <a:graphicData uri="http://schemas.openxmlformats.org/drawingml/2006/chart">
          <c:chart xmlns:c="http://schemas.openxmlformats.org/drawingml/2006/chart" r:id="rId1"/>
        </a:graphicData>
      </a:graphic>
    </xdr:graphicFrame>
    <xdr:clientData/>
  </xdr:twoCellAnchor>
  <xdr:twoCellAnchor>
    <xdr:from>
      <xdr:col>9</xdr:col>
      <xdr:colOff>123825</xdr:colOff>
      <xdr:row>21</xdr:row>
      <xdr:rowOff>66675</xdr:rowOff>
    </xdr:from>
    <xdr:to>
      <xdr:col>16</xdr:col>
      <xdr:colOff>209550</xdr:colOff>
      <xdr:row>32</xdr:row>
      <xdr:rowOff>9525</xdr:rowOff>
    </xdr:to>
    <xdr:graphicFrame>
      <xdr:nvGraphicFramePr>
        <xdr:cNvPr id="2" name="Chart 2"/>
        <xdr:cNvGraphicFramePr/>
      </xdr:nvGraphicFramePr>
      <xdr:xfrm>
        <a:off x="4648200" y="3705225"/>
        <a:ext cx="4086225" cy="20383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3248025</xdr:colOff>
      <xdr:row>7</xdr:row>
      <xdr:rowOff>190500</xdr:rowOff>
    </xdr:from>
    <xdr:to>
      <xdr:col>1</xdr:col>
      <xdr:colOff>3248025</xdr:colOff>
      <xdr:row>18</xdr:row>
      <xdr:rowOff>28575</xdr:rowOff>
    </xdr:to>
    <xdr:pic>
      <xdr:nvPicPr>
        <xdr:cNvPr id="1" name="Picture 8" descr="LOGO CAFÉS"/>
        <xdr:cNvPicPr preferRelativeResize="1">
          <a:picLocks noChangeAspect="1"/>
        </xdr:cNvPicPr>
      </xdr:nvPicPr>
      <xdr:blipFill>
        <a:blip r:embed="rId1"/>
        <a:stretch>
          <a:fillRect/>
        </a:stretch>
      </xdr:blipFill>
      <xdr:spPr>
        <a:xfrm>
          <a:off x="3429000" y="1600200"/>
          <a:ext cx="0" cy="2124075"/>
        </a:xfrm>
        <a:prstGeom prst="rect">
          <a:avLst/>
        </a:prstGeom>
        <a:noFill/>
        <a:ln w="9525"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0.264</cdr:x>
      <cdr:y>0.01975</cdr:y>
    </cdr:from>
    <cdr:to>
      <cdr:x>0.788</cdr:x>
      <cdr:y>0.1245</cdr:y>
    </cdr:to>
    <cdr:sp>
      <cdr:nvSpPr>
        <cdr:cNvPr id="1" name="CaixaDeTexto 1"/>
        <cdr:cNvSpPr txBox="1">
          <a:spLocks noChangeArrowheads="1"/>
        </cdr:cNvSpPr>
      </cdr:nvSpPr>
      <cdr:spPr>
        <a:xfrm>
          <a:off x="1657350" y="47625"/>
          <a:ext cx="3295650" cy="285750"/>
        </a:xfrm>
        <a:prstGeom prst="rect">
          <a:avLst/>
        </a:prstGeom>
        <a:noFill/>
        <a:ln w="9525" cmpd="sng">
          <a:noFill/>
        </a:ln>
      </cdr:spPr>
      <cdr:txBody>
        <a:bodyPr vertOverflow="clip" wrap="square"/>
        <a:p>
          <a:pPr algn="ctr">
            <a:defRPr/>
          </a:pPr>
          <a:r>
            <a:rPr lang="en-US" cap="none" sz="1100" b="1" i="0" u="none" baseline="0">
              <a:solidFill>
                <a:srgbClr val="000000"/>
              </a:solidFill>
              <a:latin typeface="Arial"/>
              <a:ea typeface="Arial"/>
              <a:cs typeface="Arial"/>
            </a:rPr>
            <a:t>Evolução</a:t>
          </a:r>
          <a:r>
            <a:rPr lang="en-US" cap="none" sz="1100" b="1" i="0" u="none" baseline="0">
              <a:solidFill>
                <a:srgbClr val="000000"/>
              </a:solidFill>
              <a:latin typeface="Arial"/>
              <a:ea typeface="Arial"/>
              <a:cs typeface="Arial"/>
            </a:rPr>
            <a:t> da Produção de Café Arábica, Conilon e Total
</a:t>
          </a:r>
          <a:r>
            <a:rPr lang="en-US" cap="none" sz="1000" b="0" i="0" u="none" baseline="0">
              <a:solidFill>
                <a:srgbClr val="000000"/>
              </a:solidFill>
              <a:latin typeface="Arial"/>
              <a:ea typeface="Arial"/>
              <a:cs typeface="Arial"/>
            </a:rPr>
            <a:t>Em milhões de sacas</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0</xdr:rowOff>
    </xdr:from>
    <xdr:to>
      <xdr:col>10</xdr:col>
      <xdr:colOff>190500</xdr:colOff>
      <xdr:row>27</xdr:row>
      <xdr:rowOff>142875</xdr:rowOff>
    </xdr:to>
    <xdr:graphicFrame>
      <xdr:nvGraphicFramePr>
        <xdr:cNvPr id="1" name="Gráfico 8"/>
        <xdr:cNvGraphicFramePr/>
      </xdr:nvGraphicFramePr>
      <xdr:xfrm>
        <a:off x="0" y="1895475"/>
        <a:ext cx="6286500" cy="27336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3248025</xdr:colOff>
      <xdr:row>7</xdr:row>
      <xdr:rowOff>190500</xdr:rowOff>
    </xdr:from>
    <xdr:to>
      <xdr:col>2</xdr:col>
      <xdr:colOff>3248025</xdr:colOff>
      <xdr:row>19</xdr:row>
      <xdr:rowOff>19050</xdr:rowOff>
    </xdr:to>
    <xdr:pic>
      <xdr:nvPicPr>
        <xdr:cNvPr id="1" name="Picture 8" descr="LOGO CAFÉS"/>
        <xdr:cNvPicPr preferRelativeResize="1">
          <a:picLocks noChangeAspect="1"/>
        </xdr:cNvPicPr>
      </xdr:nvPicPr>
      <xdr:blipFill>
        <a:blip r:embed="rId1"/>
        <a:stretch>
          <a:fillRect/>
        </a:stretch>
      </xdr:blipFill>
      <xdr:spPr>
        <a:xfrm>
          <a:off x="4143375" y="1476375"/>
          <a:ext cx="0" cy="2114550"/>
        </a:xfrm>
        <a:prstGeom prst="rect">
          <a:avLst/>
        </a:prstGeom>
        <a:noFill/>
        <a:ln w="9525" cmpd="sng">
          <a:noFill/>
        </a:ln>
      </xdr:spPr>
    </xdr:pic>
    <xdr:clientData/>
  </xdr:twoCellAnchor>
  <xdr:twoCellAnchor editAs="oneCell">
    <xdr:from>
      <xdr:col>1</xdr:col>
      <xdr:colOff>714375</xdr:colOff>
      <xdr:row>8</xdr:row>
      <xdr:rowOff>190500</xdr:rowOff>
    </xdr:from>
    <xdr:to>
      <xdr:col>1</xdr:col>
      <xdr:colOff>714375</xdr:colOff>
      <xdr:row>20</xdr:row>
      <xdr:rowOff>19050</xdr:rowOff>
    </xdr:to>
    <xdr:pic>
      <xdr:nvPicPr>
        <xdr:cNvPr id="2" name="Picture 8" descr="LOGO CAFÉS"/>
        <xdr:cNvPicPr preferRelativeResize="1">
          <a:picLocks noChangeAspect="1"/>
        </xdr:cNvPicPr>
      </xdr:nvPicPr>
      <xdr:blipFill>
        <a:blip r:embed="rId1"/>
        <a:stretch>
          <a:fillRect/>
        </a:stretch>
      </xdr:blipFill>
      <xdr:spPr>
        <a:xfrm>
          <a:off x="895350" y="1666875"/>
          <a:ext cx="0" cy="2114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9525</xdr:colOff>
      <xdr:row>1</xdr:row>
      <xdr:rowOff>123825</xdr:rowOff>
    </xdr:from>
    <xdr:to>
      <xdr:col>19</xdr:col>
      <xdr:colOff>57150</xdr:colOff>
      <xdr:row>5</xdr:row>
      <xdr:rowOff>66675</xdr:rowOff>
    </xdr:to>
    <xdr:pic>
      <xdr:nvPicPr>
        <xdr:cNvPr id="1" name="Picture 8" descr="LOGO CAFÉS"/>
        <xdr:cNvPicPr preferRelativeResize="1">
          <a:picLocks noChangeAspect="1"/>
        </xdr:cNvPicPr>
      </xdr:nvPicPr>
      <xdr:blipFill>
        <a:blip r:embed="rId1"/>
        <a:stretch>
          <a:fillRect/>
        </a:stretch>
      </xdr:blipFill>
      <xdr:spPr>
        <a:xfrm>
          <a:off x="8686800" y="333375"/>
          <a:ext cx="561975"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828675</xdr:colOff>
      <xdr:row>2</xdr:row>
      <xdr:rowOff>0</xdr:rowOff>
    </xdr:from>
    <xdr:to>
      <xdr:col>10</xdr:col>
      <xdr:colOff>28575</xdr:colOff>
      <xdr:row>3</xdr:row>
      <xdr:rowOff>200025</xdr:rowOff>
    </xdr:to>
    <xdr:pic>
      <xdr:nvPicPr>
        <xdr:cNvPr id="1" name="Picture 1"/>
        <xdr:cNvPicPr preferRelativeResize="1">
          <a:picLocks noChangeAspect="1"/>
        </xdr:cNvPicPr>
      </xdr:nvPicPr>
      <xdr:blipFill>
        <a:blip r:embed="rId1"/>
        <a:stretch>
          <a:fillRect/>
        </a:stretch>
      </xdr:blipFill>
      <xdr:spPr>
        <a:xfrm>
          <a:off x="7277100" y="571500"/>
          <a:ext cx="1162050" cy="447675"/>
        </a:xfrm>
        <a:prstGeom prst="rect">
          <a:avLst/>
        </a:prstGeom>
        <a:noFill/>
        <a:ln w="9525" cmpd="sng">
          <a:noFill/>
        </a:ln>
      </xdr:spPr>
    </xdr:pic>
    <xdr:clientData/>
  </xdr:twoCellAnchor>
  <xdr:twoCellAnchor editAs="oneCell">
    <xdr:from>
      <xdr:col>2</xdr:col>
      <xdr:colOff>0</xdr:colOff>
      <xdr:row>1</xdr:row>
      <xdr:rowOff>276225</xdr:rowOff>
    </xdr:from>
    <xdr:to>
      <xdr:col>2</xdr:col>
      <xdr:colOff>647700</xdr:colOff>
      <xdr:row>4</xdr:row>
      <xdr:rowOff>133350</xdr:rowOff>
    </xdr:to>
    <xdr:pic>
      <xdr:nvPicPr>
        <xdr:cNvPr id="2" name="Picture 8" descr="LOGO CAFÉS"/>
        <xdr:cNvPicPr preferRelativeResize="1">
          <a:picLocks noChangeAspect="1"/>
        </xdr:cNvPicPr>
      </xdr:nvPicPr>
      <xdr:blipFill>
        <a:blip r:embed="rId2"/>
        <a:stretch>
          <a:fillRect/>
        </a:stretch>
      </xdr:blipFill>
      <xdr:spPr>
        <a:xfrm>
          <a:off x="695325" y="504825"/>
          <a:ext cx="647700" cy="695325"/>
        </a:xfrm>
        <a:prstGeom prst="rect">
          <a:avLst/>
        </a:prstGeom>
        <a:noFill/>
        <a:ln w="9525" cmpd="sng">
          <a:noFill/>
        </a:ln>
      </xdr:spPr>
    </xdr:pic>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0.26425</cdr:x>
      <cdr:y>0.02875</cdr:y>
    </cdr:from>
    <cdr:to>
      <cdr:x>0.78625</cdr:x>
      <cdr:y>0.135</cdr:y>
    </cdr:to>
    <cdr:sp>
      <cdr:nvSpPr>
        <cdr:cNvPr id="1" name="CaixaDeTexto 1"/>
        <cdr:cNvSpPr txBox="1">
          <a:spLocks noChangeArrowheads="1"/>
        </cdr:cNvSpPr>
      </cdr:nvSpPr>
      <cdr:spPr>
        <a:xfrm>
          <a:off x="2190750" y="142875"/>
          <a:ext cx="4343400" cy="552450"/>
        </a:xfrm>
        <a:prstGeom prst="rect">
          <a:avLst/>
        </a:prstGeom>
        <a:noFill/>
        <a:ln w="9525" cmpd="sng">
          <a:noFill/>
        </a:ln>
      </cdr:spPr>
      <cdr:txBody>
        <a:bodyPr vertOverflow="clip" wrap="square"/>
        <a:p>
          <a:pPr algn="ctr">
            <a:defRPr/>
          </a:pPr>
          <a:r>
            <a:rPr lang="en-US" cap="none" sz="1100" b="1" i="0" u="none" baseline="0">
              <a:solidFill>
                <a:srgbClr val="000000"/>
              </a:solidFill>
              <a:latin typeface="Arial"/>
              <a:ea typeface="Arial"/>
              <a:cs typeface="Arial"/>
            </a:rPr>
            <a:t>Evolução</a:t>
          </a:r>
          <a:r>
            <a:rPr lang="en-US" cap="none" sz="1100" b="1" i="0" u="none" baseline="0">
              <a:solidFill>
                <a:srgbClr val="000000"/>
              </a:solidFill>
              <a:latin typeface="Arial"/>
              <a:ea typeface="Arial"/>
              <a:cs typeface="Arial"/>
            </a:rPr>
            <a:t> da Produção de Café Arábica, Conilon e Total
</a:t>
          </a:r>
          <a:r>
            <a:rPr lang="en-US" cap="none" sz="1000" b="0" i="0" u="none" baseline="0">
              <a:solidFill>
                <a:srgbClr val="000000"/>
              </a:solidFill>
              <a:latin typeface="Arial"/>
              <a:ea typeface="Arial"/>
              <a:cs typeface="Arial"/>
            </a:rPr>
            <a:t>Em milhões de sacas</a:t>
          </a:r>
        </a:p>
      </cdr:txBody>
    </cdr:sp>
  </cdr:relSizeAnchor>
  <cdr:relSizeAnchor xmlns:cdr="http://schemas.openxmlformats.org/drawingml/2006/chartDrawing">
    <cdr:from>
      <cdr:x>0.4445</cdr:x>
      <cdr:y>0.11</cdr:y>
    </cdr:from>
    <cdr:to>
      <cdr:x>0.5855</cdr:x>
      <cdr:y>0.20025</cdr:y>
    </cdr:to>
    <cdr:pic>
      <cdr:nvPicPr>
        <cdr:cNvPr id="2" name="Picture 1"/>
        <cdr:cNvPicPr preferRelativeResize="1">
          <a:picLocks noChangeAspect="1"/>
        </cdr:cNvPicPr>
      </cdr:nvPicPr>
      <cdr:blipFill>
        <a:blip r:embed="rId1"/>
        <a:stretch>
          <a:fillRect/>
        </a:stretch>
      </cdr:blipFill>
      <cdr:spPr>
        <a:xfrm>
          <a:off x="3695700" y="561975"/>
          <a:ext cx="1171575" cy="466725"/>
        </a:xfrm>
        <a:prstGeom prst="rect">
          <a:avLst/>
        </a:prstGeom>
        <a:noFill/>
        <a:ln w="9525" cmpd="sng">
          <a:noFill/>
        </a:ln>
      </cdr:spPr>
    </cdr:pic>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xdr:row>
      <xdr:rowOff>200025</xdr:rowOff>
    </xdr:from>
    <xdr:to>
      <xdr:col>0</xdr:col>
      <xdr:colOff>0</xdr:colOff>
      <xdr:row>16</xdr:row>
      <xdr:rowOff>66675</xdr:rowOff>
    </xdr:to>
    <xdr:pic>
      <xdr:nvPicPr>
        <xdr:cNvPr id="1" name="Picture 8" descr="LOGO CAFÉS"/>
        <xdr:cNvPicPr preferRelativeResize="1">
          <a:picLocks noChangeAspect="1"/>
        </xdr:cNvPicPr>
      </xdr:nvPicPr>
      <xdr:blipFill>
        <a:blip r:embed="rId1"/>
        <a:stretch>
          <a:fillRect/>
        </a:stretch>
      </xdr:blipFill>
      <xdr:spPr>
        <a:xfrm>
          <a:off x="0" y="1762125"/>
          <a:ext cx="0" cy="2533650"/>
        </a:xfrm>
        <a:prstGeom prst="rect">
          <a:avLst/>
        </a:prstGeom>
        <a:noFill/>
        <a:ln w="9525" cmpd="sng">
          <a:noFill/>
        </a:ln>
      </xdr:spPr>
    </xdr:pic>
    <xdr:clientData/>
  </xdr:twoCellAnchor>
  <xdr:twoCellAnchor>
    <xdr:from>
      <xdr:col>1</xdr:col>
      <xdr:colOff>180975</xdr:colOff>
      <xdr:row>1</xdr:row>
      <xdr:rowOff>180975</xdr:rowOff>
    </xdr:from>
    <xdr:to>
      <xdr:col>13</xdr:col>
      <xdr:colOff>457200</xdr:colOff>
      <xdr:row>21</xdr:row>
      <xdr:rowOff>28575</xdr:rowOff>
    </xdr:to>
    <xdr:graphicFrame>
      <xdr:nvGraphicFramePr>
        <xdr:cNvPr id="2" name="Gráfico 8"/>
        <xdr:cNvGraphicFramePr/>
      </xdr:nvGraphicFramePr>
      <xdr:xfrm>
        <a:off x="361950" y="409575"/>
        <a:ext cx="8315325" cy="5181600"/>
      </xdr:xfrm>
      <a:graphic>
        <a:graphicData uri="http://schemas.openxmlformats.org/drawingml/2006/chart">
          <c:chart xmlns:c="http://schemas.openxmlformats.org/drawingml/2006/chart" r:id="rId2"/>
        </a:graphicData>
      </a:graphic>
    </xdr:graphicFrame>
    <xdr:clientData/>
  </xdr:twoCellAnchor>
  <xdr:twoCellAnchor>
    <xdr:from>
      <xdr:col>1</xdr:col>
      <xdr:colOff>704850</xdr:colOff>
      <xdr:row>19</xdr:row>
      <xdr:rowOff>66675</xdr:rowOff>
    </xdr:from>
    <xdr:to>
      <xdr:col>5</xdr:col>
      <xdr:colOff>209550</xdr:colOff>
      <xdr:row>20</xdr:row>
      <xdr:rowOff>9525</xdr:rowOff>
    </xdr:to>
    <xdr:sp>
      <xdr:nvSpPr>
        <xdr:cNvPr id="3" name="CaixaDeTexto 6"/>
        <xdr:cNvSpPr txBox="1">
          <a:spLocks noChangeArrowheads="1"/>
        </xdr:cNvSpPr>
      </xdr:nvSpPr>
      <xdr:spPr>
        <a:xfrm>
          <a:off x="885825" y="5095875"/>
          <a:ext cx="2038350" cy="209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ALTA ou BAIXA =</a:t>
          </a:r>
          <a:r>
            <a:rPr lang="en-US" cap="none" sz="1000" b="0" i="0" u="none" baseline="0">
              <a:solidFill>
                <a:srgbClr val="000000"/>
              </a:solidFill>
              <a:latin typeface="Calibri"/>
              <a:ea typeface="Calibri"/>
              <a:cs typeface="Calibri"/>
            </a:rPr>
            <a:t> bienalidade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7</xdr:row>
      <xdr:rowOff>114300</xdr:rowOff>
    </xdr:from>
    <xdr:to>
      <xdr:col>1</xdr:col>
      <xdr:colOff>790575</xdr:colOff>
      <xdr:row>23</xdr:row>
      <xdr:rowOff>57150</xdr:rowOff>
    </xdr:to>
    <xdr:sp>
      <xdr:nvSpPr>
        <xdr:cNvPr id="1" name="WordArt 1"/>
        <xdr:cNvSpPr>
          <a:spLocks/>
        </xdr:cNvSpPr>
      </xdr:nvSpPr>
      <xdr:spPr>
        <a:xfrm rot="5400000">
          <a:off x="228600" y="1666875"/>
          <a:ext cx="742950" cy="3905250"/>
        </a:xfrm>
        <a:prstGeom prst="rect"/>
        <a:noFill/>
      </xdr:spPr>
      <xdr:txBody>
        <a:bodyPr fromWordArt="1" wrap="none" lIns="91440" tIns="45720" rIns="91440" bIns="45720">
          <a:prstTxWarp prst="textPlain"/>
        </a:bodyPr>
        <a:p>
          <a:pPr algn="ctr"/>
          <a:r>
            <a:rPr sz="3600" kern="10" spc="0">
              <a:ln w="12700" cmpd="sng">
                <a:solidFill>
                  <a:srgbClr val="0000FF"/>
                </a:solidFill>
                <a:headEnd type="none"/>
                <a:tailEnd type="none"/>
              </a:ln>
              <a:solidFill>
                <a:srgbClr val="FFCC00"/>
              </a:solidFill>
              <a:effectLst>
                <a:outerShdw dist="53881" dir="2700000" algn="ctr">
                  <a:srgbClr val="CBCBCB">
                    <a:alpha val="100000"/>
                  </a:srgbClr>
                </a:outerShdw>
              </a:effectLst>
              <a:latin typeface="Times New Roman"/>
              <a:cs typeface="Times New Roman"/>
            </a:rPr>
            <a:t>C A F É</a:t>
          </a:r>
        </a:p>
      </xdr:txBody>
    </xdr:sp>
    <xdr:clientData/>
  </xdr:twoCellAnchor>
  <xdr:twoCellAnchor>
    <xdr:from>
      <xdr:col>1</xdr:col>
      <xdr:colOff>276225</xdr:colOff>
      <xdr:row>1</xdr:row>
      <xdr:rowOff>76200</xdr:rowOff>
    </xdr:from>
    <xdr:to>
      <xdr:col>7</xdr:col>
      <xdr:colOff>409575</xdr:colOff>
      <xdr:row>2</xdr:row>
      <xdr:rowOff>142875</xdr:rowOff>
    </xdr:to>
    <xdr:sp>
      <xdr:nvSpPr>
        <xdr:cNvPr id="2" name="WordArt 2"/>
        <xdr:cNvSpPr>
          <a:spLocks/>
        </xdr:cNvSpPr>
      </xdr:nvSpPr>
      <xdr:spPr>
        <a:xfrm>
          <a:off x="457200" y="285750"/>
          <a:ext cx="4352925" cy="257175"/>
        </a:xfrm>
        <a:prstGeom prst="rect"/>
        <a:noFill/>
      </xdr:spPr>
      <xdr:txBody>
        <a:bodyPr fromWordArt="1" wrap="none" lIns="91440" tIns="45720" rIns="91440" bIns="45720">
          <a:prstTxWarp prst="textPlain"/>
        </a:bodyPr>
        <a:p>
          <a:pPr algn="ctr"/>
          <a:r>
            <a:rPr sz="1600" kern="10" spc="0">
              <a:ln w="9525" cmpd="sng">
                <a:solidFill>
                  <a:srgbClr val="000000"/>
                </a:solidFill>
                <a:headEnd type="none"/>
                <a:tailEnd type="none"/>
              </a:ln>
              <a:solidFill>
                <a:srgbClr val="FFFFFF"/>
              </a:solidFill>
              <a:latin typeface="Arial Black"/>
              <a:cs typeface="Arial Black"/>
            </a:rPr>
            <a:t>ACOMPANHAMENTO SEMANAL DE PREÇOS</a:t>
          </a:r>
        </a:p>
      </xdr:txBody>
    </xdr:sp>
    <xdr:clientData/>
  </xdr:twoCellAnchor>
  <xdr:twoCellAnchor>
    <xdr:from>
      <xdr:col>8</xdr:col>
      <xdr:colOff>152400</xdr:colOff>
      <xdr:row>1</xdr:row>
      <xdr:rowOff>9525</xdr:rowOff>
    </xdr:from>
    <xdr:to>
      <xdr:col>10</xdr:col>
      <xdr:colOff>1209675</xdr:colOff>
      <xdr:row>12</xdr:row>
      <xdr:rowOff>152400</xdr:rowOff>
    </xdr:to>
    <xdr:graphicFrame>
      <xdr:nvGraphicFramePr>
        <xdr:cNvPr id="3" name="Chart 5"/>
        <xdr:cNvGraphicFramePr/>
      </xdr:nvGraphicFramePr>
      <xdr:xfrm>
        <a:off x="5448300" y="219075"/>
        <a:ext cx="3486150" cy="2724150"/>
      </xdr:xfrm>
      <a:graphic>
        <a:graphicData uri="http://schemas.openxmlformats.org/drawingml/2006/chart">
          <c:chart xmlns:c="http://schemas.openxmlformats.org/drawingml/2006/chart" r:id="rId1"/>
        </a:graphicData>
      </a:graphic>
    </xdr:graphicFrame>
    <xdr:clientData/>
  </xdr:twoCellAnchor>
  <xdr:twoCellAnchor>
    <xdr:from>
      <xdr:col>8</xdr:col>
      <xdr:colOff>142875</xdr:colOff>
      <xdr:row>13</xdr:row>
      <xdr:rowOff>152400</xdr:rowOff>
    </xdr:from>
    <xdr:to>
      <xdr:col>10</xdr:col>
      <xdr:colOff>1238250</xdr:colOff>
      <xdr:row>24</xdr:row>
      <xdr:rowOff>19050</xdr:rowOff>
    </xdr:to>
    <xdr:graphicFrame>
      <xdr:nvGraphicFramePr>
        <xdr:cNvPr id="4" name="Chart 5"/>
        <xdr:cNvGraphicFramePr/>
      </xdr:nvGraphicFramePr>
      <xdr:xfrm>
        <a:off x="5438775" y="3190875"/>
        <a:ext cx="3524250" cy="2647950"/>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0.1855</cdr:x>
      <cdr:y>0.0185</cdr:y>
    </cdr:from>
    <cdr:to>
      <cdr:x>0.76825</cdr:x>
      <cdr:y>0.14325</cdr:y>
    </cdr:to>
    <cdr:sp>
      <cdr:nvSpPr>
        <cdr:cNvPr id="1" name="CaixaDeTexto 1"/>
        <cdr:cNvSpPr txBox="1">
          <a:spLocks noChangeArrowheads="1"/>
        </cdr:cNvSpPr>
      </cdr:nvSpPr>
      <cdr:spPr>
        <a:xfrm>
          <a:off x="1524000" y="85725"/>
          <a:ext cx="4791075" cy="619125"/>
        </a:xfrm>
        <a:prstGeom prst="rect">
          <a:avLst/>
        </a:prstGeom>
        <a:noFill/>
        <a:ln w="9525" cmpd="sng">
          <a:noFill/>
        </a:ln>
      </cdr:spPr>
      <cdr:txBody>
        <a:bodyPr vertOverflow="clip" wrap="square"/>
        <a:p>
          <a:pPr algn="l">
            <a:defRPr/>
          </a:pPr>
          <a:r>
            <a:rPr lang="en-US" cap="none" sz="1400" b="1" i="0" u="none" baseline="0">
              <a:solidFill>
                <a:srgbClr val="000000"/>
              </a:solidFill>
              <a:latin typeface="Calibri"/>
              <a:ea typeface="Calibri"/>
              <a:cs typeface="Calibri"/>
            </a:rPr>
            <a:t>Evolução Mensal dos Preços</a:t>
          </a:r>
          <a:r>
            <a:rPr lang="en-US" cap="none" sz="1400" b="1" i="0" u="none" baseline="0">
              <a:solidFill>
                <a:srgbClr val="000000"/>
              </a:solidFill>
              <a:latin typeface="Calibri"/>
              <a:ea typeface="Calibri"/>
              <a:cs typeface="Calibri"/>
            </a:rPr>
            <a:t> do Café
</a:t>
          </a:r>
          <a:r>
            <a:rPr lang="en-US" cap="none" sz="1100" b="0" i="0" u="none" baseline="0">
              <a:solidFill>
                <a:srgbClr val="000000"/>
              </a:solidFill>
              <a:latin typeface="Calibri"/>
              <a:ea typeface="Calibri"/>
              <a:cs typeface="Calibri"/>
            </a:rPr>
            <a:t>Em R$ por saca  - 2010 a  07/2016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AIRTON%20CAMARGO%20-%20CAF&#201;\ARQUIVOS%20DE%20TRABALHO%20-%20Novo\Pre&#231;os\COTA&#199;&#195;O-CEPEA-ESALQ%20-%201997-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áfico-Arbitragem"/>
      <sheetName val="Dados-Mensal"/>
      <sheetName val="Preços-CEPEA"/>
      <sheetName val="Preços Internos"/>
      <sheetName val="Plan1"/>
    </sheetNames>
    <sheetDataSet>
      <sheetData sheetId="3">
        <row r="3">
          <cell r="B3" t="str">
            <v>Arábica</v>
          </cell>
          <cell r="C3" t="str">
            <v>Robusta</v>
          </cell>
        </row>
        <row r="4">
          <cell r="A4">
            <v>2010</v>
          </cell>
          <cell r="B4">
            <v>280.75</v>
          </cell>
          <cell r="C4">
            <v>173.51</v>
          </cell>
        </row>
        <row r="5">
          <cell r="B5">
            <v>278.68</v>
          </cell>
          <cell r="C5">
            <v>168.47</v>
          </cell>
        </row>
        <row r="6">
          <cell r="B6">
            <v>279.7</v>
          </cell>
          <cell r="C6">
            <v>173.67</v>
          </cell>
        </row>
        <row r="7">
          <cell r="B7">
            <v>282.17</v>
          </cell>
          <cell r="C7">
            <v>158.22</v>
          </cell>
        </row>
        <row r="8">
          <cell r="B8">
            <v>289.46</v>
          </cell>
          <cell r="C8">
            <v>160.51</v>
          </cell>
        </row>
        <row r="9">
          <cell r="B9">
            <v>305.99</v>
          </cell>
          <cell r="C9">
            <v>168.17</v>
          </cell>
        </row>
        <row r="10">
          <cell r="B10">
            <v>302.36</v>
          </cell>
          <cell r="C10">
            <v>171.5</v>
          </cell>
        </row>
        <row r="11">
          <cell r="B11">
            <v>313.93318181818177</v>
          </cell>
          <cell r="C11">
            <v>171.44545454545457</v>
          </cell>
        </row>
        <row r="12">
          <cell r="B12">
            <v>328.23</v>
          </cell>
          <cell r="C12">
            <v>170.03</v>
          </cell>
        </row>
        <row r="13">
          <cell r="B13">
            <v>327.15</v>
          </cell>
          <cell r="C13">
            <v>173.81</v>
          </cell>
        </row>
        <row r="14">
          <cell r="B14">
            <v>355.51</v>
          </cell>
          <cell r="C14">
            <v>187.14</v>
          </cell>
        </row>
        <row r="15">
          <cell r="B15">
            <v>387.01</v>
          </cell>
          <cell r="C15">
            <v>192.83</v>
          </cell>
        </row>
        <row r="16">
          <cell r="A16">
            <v>2011</v>
          </cell>
          <cell r="B16">
            <v>433.34</v>
          </cell>
          <cell r="C16">
            <v>206.21</v>
          </cell>
        </row>
        <row r="17">
          <cell r="B17">
            <v>495.98</v>
          </cell>
          <cell r="C17">
            <v>214.32</v>
          </cell>
        </row>
        <row r="18">
          <cell r="B18">
            <v>524.27</v>
          </cell>
          <cell r="C18">
            <v>215.81</v>
          </cell>
        </row>
        <row r="19">
          <cell r="B19">
            <v>524.41</v>
          </cell>
          <cell r="C19">
            <v>220.82</v>
          </cell>
        </row>
        <row r="20">
          <cell r="B20">
            <v>530.76</v>
          </cell>
          <cell r="C20">
            <v>231.69</v>
          </cell>
        </row>
        <row r="21">
          <cell r="B21">
            <v>515.01</v>
          </cell>
          <cell r="C21">
            <v>226.82</v>
          </cell>
        </row>
        <row r="22">
          <cell r="B22">
            <v>457.81</v>
          </cell>
          <cell r="C22">
            <v>218.48</v>
          </cell>
        </row>
        <row r="23">
          <cell r="B23">
            <v>470.62</v>
          </cell>
          <cell r="C23">
            <v>222.01</v>
          </cell>
        </row>
        <row r="24">
          <cell r="B24">
            <v>511.57</v>
          </cell>
          <cell r="C24">
            <v>233</v>
          </cell>
        </row>
        <row r="25">
          <cell r="B25">
            <v>490.45</v>
          </cell>
          <cell r="C25">
            <v>244.15</v>
          </cell>
        </row>
        <row r="26">
          <cell r="B26">
            <v>493.83</v>
          </cell>
          <cell r="C26">
            <v>269.29</v>
          </cell>
        </row>
        <row r="27">
          <cell r="B27">
            <v>491.35</v>
          </cell>
          <cell r="C27">
            <v>297.26</v>
          </cell>
        </row>
        <row r="28">
          <cell r="A28">
            <v>2012</v>
          </cell>
          <cell r="B28">
            <v>485.04</v>
          </cell>
          <cell r="C28">
            <v>296.51</v>
          </cell>
        </row>
        <row r="29">
          <cell r="B29">
            <v>441.31</v>
          </cell>
          <cell r="C29">
            <v>270.64</v>
          </cell>
        </row>
        <row r="30">
          <cell r="B30">
            <v>387.49</v>
          </cell>
          <cell r="C30">
            <v>255.29</v>
          </cell>
        </row>
        <row r="31">
          <cell r="B31">
            <v>379.53</v>
          </cell>
          <cell r="C31">
            <v>248.66</v>
          </cell>
        </row>
        <row r="32">
          <cell r="B32">
            <v>382.65</v>
          </cell>
          <cell r="C32">
            <v>253.75</v>
          </cell>
        </row>
        <row r="33">
          <cell r="B33">
            <v>360.31</v>
          </cell>
          <cell r="C33">
            <v>252.44</v>
          </cell>
        </row>
        <row r="34">
          <cell r="B34">
            <v>408.06</v>
          </cell>
          <cell r="C34">
            <v>275.2</v>
          </cell>
        </row>
        <row r="35">
          <cell r="B35">
            <v>378.48</v>
          </cell>
          <cell r="C35">
            <v>276.83</v>
          </cell>
        </row>
        <row r="36">
          <cell r="B36">
            <v>385.92</v>
          </cell>
          <cell r="C36">
            <v>287.52</v>
          </cell>
        </row>
        <row r="37">
          <cell r="B37">
            <v>374.98</v>
          </cell>
          <cell r="C37">
            <v>283.42</v>
          </cell>
        </row>
        <row r="38">
          <cell r="B38">
            <v>355.23</v>
          </cell>
          <cell r="C38">
            <v>266.14</v>
          </cell>
        </row>
        <row r="39">
          <cell r="B39">
            <v>341.4</v>
          </cell>
          <cell r="C39">
            <v>256.61</v>
          </cell>
        </row>
        <row r="40">
          <cell r="A40">
            <v>2013</v>
          </cell>
          <cell r="B40">
            <v>341.16</v>
          </cell>
          <cell r="C40">
            <v>267.21454545454543</v>
          </cell>
        </row>
        <row r="41">
          <cell r="B41">
            <v>317.72</v>
          </cell>
          <cell r="C41">
            <v>264.98</v>
          </cell>
        </row>
        <row r="42">
          <cell r="B42">
            <v>303.42</v>
          </cell>
          <cell r="C42">
            <v>253.2</v>
          </cell>
        </row>
        <row r="43">
          <cell r="B43">
            <v>300.51</v>
          </cell>
          <cell r="C43">
            <v>250.32</v>
          </cell>
        </row>
        <row r="44">
          <cell r="B44">
            <v>297.25</v>
          </cell>
          <cell r="C44">
            <v>250.88</v>
          </cell>
        </row>
        <row r="45">
          <cell r="B45">
            <v>285.71</v>
          </cell>
          <cell r="C45">
            <v>245.09</v>
          </cell>
        </row>
        <row r="46">
          <cell r="B46">
            <v>287.57</v>
          </cell>
          <cell r="C46">
            <v>248.91</v>
          </cell>
        </row>
        <row r="47">
          <cell r="B47">
            <v>286.17</v>
          </cell>
          <cell r="C47">
            <v>253.22</v>
          </cell>
        </row>
        <row r="48">
          <cell r="B48">
            <v>273.9</v>
          </cell>
          <cell r="C48">
            <v>236.24</v>
          </cell>
        </row>
        <row r="49">
          <cell r="B49">
            <v>253.94</v>
          </cell>
          <cell r="C49">
            <v>205.23</v>
          </cell>
        </row>
        <row r="50">
          <cell r="B50">
            <v>247.73</v>
          </cell>
          <cell r="C50">
            <v>198.83</v>
          </cell>
        </row>
        <row r="51">
          <cell r="B51">
            <v>272.1</v>
          </cell>
          <cell r="C51">
            <v>223.11</v>
          </cell>
        </row>
        <row r="52">
          <cell r="A52">
            <v>2014</v>
          </cell>
          <cell r="B52">
            <v>289.44</v>
          </cell>
          <cell r="C52">
            <v>226.82</v>
          </cell>
        </row>
        <row r="53">
          <cell r="B53">
            <v>366.32</v>
          </cell>
          <cell r="C53">
            <v>243.48</v>
          </cell>
        </row>
        <row r="54">
          <cell r="B54">
            <v>437.24</v>
          </cell>
          <cell r="C54">
            <v>263.25</v>
          </cell>
        </row>
        <row r="55">
          <cell r="B55">
            <v>449.45</v>
          </cell>
          <cell r="C55">
            <v>256.77</v>
          </cell>
        </row>
        <row r="56">
          <cell r="B56">
            <v>429.28</v>
          </cell>
          <cell r="C56">
            <v>245.82</v>
          </cell>
        </row>
        <row r="57">
          <cell r="B57">
            <v>396.74</v>
          </cell>
          <cell r="C57">
            <v>235.14</v>
          </cell>
        </row>
        <row r="58">
          <cell r="B58">
            <v>387.87</v>
          </cell>
          <cell r="C58">
            <v>242.3</v>
          </cell>
        </row>
        <row r="59">
          <cell r="B59">
            <v>437.19</v>
          </cell>
          <cell r="C59">
            <v>248.42</v>
          </cell>
        </row>
        <row r="60">
          <cell r="B60">
            <v>433.52</v>
          </cell>
          <cell r="C60">
            <v>250.1</v>
          </cell>
        </row>
        <row r="61">
          <cell r="B61">
            <v>480.13</v>
          </cell>
          <cell r="C61">
            <v>264.25</v>
          </cell>
        </row>
        <row r="62">
          <cell r="B62">
            <v>460.96</v>
          </cell>
          <cell r="C62">
            <v>277.02</v>
          </cell>
        </row>
        <row r="63">
          <cell r="B63">
            <v>455.2</v>
          </cell>
          <cell r="C63">
            <v>275.25</v>
          </cell>
        </row>
        <row r="64">
          <cell r="A64">
            <v>2015</v>
          </cell>
          <cell r="B64">
            <v>465.92</v>
          </cell>
          <cell r="C64">
            <v>283.29</v>
          </cell>
        </row>
        <row r="65">
          <cell r="B65">
            <v>459.99</v>
          </cell>
          <cell r="C65">
            <v>299.58</v>
          </cell>
        </row>
        <row r="66">
          <cell r="B66">
            <v>447.1</v>
          </cell>
          <cell r="C66">
            <v>303.44</v>
          </cell>
        </row>
        <row r="67">
          <cell r="B67">
            <v>445.69</v>
          </cell>
          <cell r="C67">
            <v>295.88</v>
          </cell>
        </row>
        <row r="68">
          <cell r="B68">
            <v>421.95</v>
          </cell>
          <cell r="C68">
            <v>290.33</v>
          </cell>
        </row>
        <row r="69">
          <cell r="B69">
            <v>424.02</v>
          </cell>
          <cell r="C69">
            <v>301.03</v>
          </cell>
        </row>
        <row r="70">
          <cell r="B70">
            <v>414.5</v>
          </cell>
          <cell r="C70">
            <v>307.41</v>
          </cell>
        </row>
        <row r="71">
          <cell r="B71">
            <v>455.5</v>
          </cell>
          <cell r="C71">
            <v>324.95</v>
          </cell>
        </row>
        <row r="72">
          <cell r="B72">
            <v>456.95</v>
          </cell>
          <cell r="C72">
            <v>340.62</v>
          </cell>
        </row>
        <row r="73">
          <cell r="B73">
            <v>478.11</v>
          </cell>
          <cell r="C73">
            <v>363.91</v>
          </cell>
        </row>
        <row r="74">
          <cell r="B74">
            <v>469.39</v>
          </cell>
          <cell r="C74">
            <v>375.28</v>
          </cell>
        </row>
        <row r="75">
          <cell r="B75">
            <v>479.32</v>
          </cell>
          <cell r="C75">
            <v>378.98</v>
          </cell>
        </row>
        <row r="76">
          <cell r="A76">
            <v>2016</v>
          </cell>
          <cell r="B76">
            <v>491.31</v>
          </cell>
          <cell r="C76">
            <v>389.07</v>
          </cell>
        </row>
        <row r="77">
          <cell r="B77">
            <v>489.82</v>
          </cell>
          <cell r="C77">
            <v>393.61</v>
          </cell>
        </row>
        <row r="78">
          <cell r="B78">
            <v>491.07</v>
          </cell>
          <cell r="C78">
            <v>363.88</v>
          </cell>
        </row>
        <row r="79">
          <cell r="B79">
            <v>463.71</v>
          </cell>
          <cell r="C79">
            <v>379.33</v>
          </cell>
        </row>
        <row r="80">
          <cell r="B80">
            <v>460.37</v>
          </cell>
          <cell r="C80">
            <v>386.95</v>
          </cell>
        </row>
        <row r="81">
          <cell r="B81">
            <v>484.87</v>
          </cell>
          <cell r="C81">
            <v>391.41</v>
          </cell>
        </row>
        <row r="82">
          <cell r="B82">
            <v>498.52</v>
          </cell>
          <cell r="C82">
            <v>409.99</v>
          </cell>
        </row>
      </sheetData>
    </sheetDataSet>
  </externalBook>
</externalLink>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agricultura.gov.br/agrostat"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agricultura.gov.br/agrostat" TargetMode="External" /><Relationship Id="rId2" Type="http://schemas.openxmlformats.org/officeDocument/2006/relationships/drawing" Target="../drawings/drawing12.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gricultura.gov.br/vegetal/estatisticas" TargetMode="External" /><Relationship Id="rId2" Type="http://schemas.openxmlformats.org/officeDocument/2006/relationships/hyperlink" Target="mailto:airton.camargo@agricultura.gov.b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1"/>
  <sheetViews>
    <sheetView tabSelected="1" zoomScalePageLayoutView="0" workbookViewId="0" topLeftCell="A1">
      <selection activeCell="F12" sqref="F12"/>
    </sheetView>
  </sheetViews>
  <sheetFormatPr defaultColWidth="9.140625" defaultRowHeight="12.75"/>
  <cols>
    <col min="1" max="1" width="2.7109375" style="0" customWidth="1"/>
    <col min="2" max="2" width="126.421875" style="0" customWidth="1"/>
    <col min="3" max="3" width="2.7109375" style="0" customWidth="1"/>
    <col min="4" max="4" width="8.8515625" style="0" bestFit="1" customWidth="1"/>
  </cols>
  <sheetData>
    <row r="1" spans="1:3" ht="16.5" customHeight="1">
      <c r="A1" s="56"/>
      <c r="B1" s="278"/>
      <c r="C1" s="56"/>
    </row>
    <row r="2" spans="1:3" ht="18" customHeight="1">
      <c r="A2" s="58"/>
      <c r="B2" s="363"/>
      <c r="C2" s="57"/>
    </row>
    <row r="3" spans="1:3" ht="16.5" customHeight="1">
      <c r="A3" s="58"/>
      <c r="B3" s="364"/>
      <c r="C3" s="57"/>
    </row>
    <row r="4" spans="1:3" ht="16.5" customHeight="1">
      <c r="A4" s="58"/>
      <c r="B4" s="364" t="s">
        <v>319</v>
      </c>
      <c r="C4" s="57"/>
    </row>
    <row r="5" spans="1:3" ht="16.5" customHeight="1">
      <c r="A5" s="58"/>
      <c r="B5" s="364" t="s">
        <v>309</v>
      </c>
      <c r="C5" s="57"/>
    </row>
    <row r="6" spans="1:3" ht="16.5" customHeight="1">
      <c r="A6" s="58"/>
      <c r="B6" s="364" t="s">
        <v>564</v>
      </c>
      <c r="C6" s="57"/>
    </row>
    <row r="7" spans="1:3" ht="16.5" customHeight="1">
      <c r="A7" s="58"/>
      <c r="B7" s="364"/>
      <c r="C7" s="57"/>
    </row>
    <row r="8" spans="1:3" ht="16.5" customHeight="1">
      <c r="A8" s="58"/>
      <c r="B8" s="364"/>
      <c r="C8" s="57"/>
    </row>
    <row r="9" spans="1:3" ht="16.5" customHeight="1">
      <c r="A9" s="58"/>
      <c r="B9" s="364"/>
      <c r="C9" s="57"/>
    </row>
    <row r="10" spans="1:3" ht="16.5" customHeight="1">
      <c r="A10" s="58"/>
      <c r="B10" s="364"/>
      <c r="C10" s="57"/>
    </row>
    <row r="11" spans="1:3" ht="16.5" customHeight="1">
      <c r="A11" s="58"/>
      <c r="B11" s="364"/>
      <c r="C11" s="57"/>
    </row>
    <row r="12" spans="1:3" ht="16.5" customHeight="1">
      <c r="A12" s="58"/>
      <c r="B12" s="364"/>
      <c r="C12" s="57"/>
    </row>
    <row r="13" spans="1:3" ht="16.5" customHeight="1">
      <c r="A13" s="58"/>
      <c r="B13" s="364"/>
      <c r="C13" s="57"/>
    </row>
    <row r="14" spans="1:3" ht="16.5" customHeight="1">
      <c r="A14" s="58"/>
      <c r="B14" s="364"/>
      <c r="C14" s="57"/>
    </row>
    <row r="15" spans="1:3" ht="16.5" customHeight="1">
      <c r="A15" s="58"/>
      <c r="B15" s="364"/>
      <c r="C15" s="57"/>
    </row>
    <row r="16" spans="1:3" ht="16.5" customHeight="1">
      <c r="A16" s="58"/>
      <c r="B16" s="364"/>
      <c r="C16" s="57"/>
    </row>
    <row r="17" spans="1:3" ht="16.5" customHeight="1">
      <c r="A17" s="58"/>
      <c r="B17" s="364"/>
      <c r="C17" s="57"/>
    </row>
    <row r="18" spans="1:3" ht="16.5" customHeight="1">
      <c r="A18" s="58"/>
      <c r="B18" s="364"/>
      <c r="C18" s="57"/>
    </row>
    <row r="19" spans="1:3" ht="16.5" customHeight="1">
      <c r="A19" s="58"/>
      <c r="B19" s="364"/>
      <c r="C19" s="57"/>
    </row>
    <row r="20" spans="1:3" ht="16.5" customHeight="1">
      <c r="A20" s="58"/>
      <c r="B20" s="1316" t="s">
        <v>482</v>
      </c>
      <c r="C20" s="57"/>
    </row>
    <row r="21" spans="1:3" ht="16.5" customHeight="1">
      <c r="A21" s="58"/>
      <c r="B21" s="1316"/>
      <c r="C21" s="57"/>
    </row>
    <row r="22" spans="1:3" ht="16.5" customHeight="1">
      <c r="A22" s="58"/>
      <c r="B22" s="364"/>
      <c r="C22" s="57"/>
    </row>
    <row r="23" spans="1:3" ht="16.5" customHeight="1">
      <c r="A23" s="58"/>
      <c r="B23" s="364" t="s">
        <v>574</v>
      </c>
      <c r="C23" s="57"/>
    </row>
    <row r="24" spans="1:3" ht="16.5" customHeight="1">
      <c r="A24" s="58"/>
      <c r="B24" s="364"/>
      <c r="C24" s="57"/>
    </row>
    <row r="25" spans="1:3" ht="16.5" customHeight="1">
      <c r="A25" s="58"/>
      <c r="B25" s="364"/>
      <c r="C25" s="57"/>
    </row>
    <row r="26" spans="1:3" ht="16.5" customHeight="1">
      <c r="A26" s="58"/>
      <c r="B26" s="365" t="s">
        <v>573</v>
      </c>
      <c r="C26" s="58"/>
    </row>
    <row r="27" spans="1:4" ht="16.5" customHeight="1">
      <c r="A27" s="57"/>
      <c r="B27" s="57"/>
      <c r="C27" s="57"/>
      <c r="D27" s="51"/>
    </row>
    <row r="28" ht="15">
      <c r="D28" s="51"/>
    </row>
    <row r="29" ht="15">
      <c r="D29" s="51"/>
    </row>
    <row r="30" ht="15">
      <c r="D30" s="51"/>
    </row>
    <row r="31" ht="15">
      <c r="D31" s="51"/>
    </row>
  </sheetData>
  <sheetProtection/>
  <mergeCells count="1">
    <mergeCell ref="B20:B21"/>
  </mergeCells>
  <printOptions horizontalCentered="1" verticalCentered="1"/>
  <pageMargins left="0.5118110236220472" right="0.5118110236220472" top="0.7874015748031497" bottom="0.7874015748031497" header="0.31496062992125984" footer="0.31496062992125984"/>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O32"/>
  <sheetViews>
    <sheetView showGridLines="0" zoomScalePageLayoutView="0" workbookViewId="0" topLeftCell="A1">
      <selection activeCell="M20" sqref="M20"/>
    </sheetView>
  </sheetViews>
  <sheetFormatPr defaultColWidth="9.140625" defaultRowHeight="12.75"/>
  <cols>
    <col min="1" max="1" width="2.7109375" style="0" customWidth="1"/>
    <col min="2" max="2" width="12.57421875" style="0" customWidth="1"/>
    <col min="3" max="3" width="11.7109375" style="0" customWidth="1"/>
    <col min="4" max="4" width="11.28125" style="0" bestFit="1" customWidth="1"/>
    <col min="5" max="5" width="9.7109375" style="0" customWidth="1"/>
    <col min="6" max="6" width="8.57421875" style="0" bestFit="1" customWidth="1"/>
    <col min="7" max="7" width="9.421875" style="0" bestFit="1" customWidth="1"/>
    <col min="8" max="8" width="13.421875" style="0" customWidth="1"/>
    <col min="9" max="9" width="14.7109375" style="0" customWidth="1"/>
    <col min="10" max="10" width="21.7109375" style="0" customWidth="1"/>
    <col min="11" max="11" width="21.28125" style="0" customWidth="1"/>
    <col min="13" max="13" width="10.140625" style="0" bestFit="1" customWidth="1"/>
  </cols>
  <sheetData>
    <row r="1" spans="1:11" ht="16.5" customHeight="1">
      <c r="A1" s="1323" t="s">
        <v>412</v>
      </c>
      <c r="B1" s="1323"/>
      <c r="C1" s="1323"/>
      <c r="D1" s="1323"/>
      <c r="E1" s="1323"/>
      <c r="F1" s="1323"/>
      <c r="G1" s="1323"/>
      <c r="H1" s="1323"/>
      <c r="I1" s="1323"/>
      <c r="J1" s="1323"/>
      <c r="K1" s="1323"/>
    </row>
    <row r="2" spans="1:11" ht="15" customHeight="1">
      <c r="A2" s="57"/>
      <c r="B2" s="63"/>
      <c r="C2" s="218"/>
      <c r="D2" s="218"/>
      <c r="E2" s="218"/>
      <c r="F2" s="218"/>
      <c r="G2" s="218"/>
      <c r="H2" s="64"/>
      <c r="I2" s="59"/>
      <c r="J2" s="59"/>
      <c r="K2" s="59"/>
    </row>
    <row r="3" spans="1:11" ht="12.75" customHeight="1">
      <c r="A3" s="57"/>
      <c r="B3" s="65"/>
      <c r="C3" s="66"/>
      <c r="D3" s="66"/>
      <c r="E3" s="66"/>
      <c r="F3" s="66"/>
      <c r="G3" s="66"/>
      <c r="H3" s="67"/>
      <c r="I3" s="59"/>
      <c r="J3" s="59"/>
      <c r="K3" s="59"/>
    </row>
    <row r="4" spans="1:11" ht="19.5" customHeight="1">
      <c r="A4" s="57"/>
      <c r="B4" s="1367" t="s">
        <v>20</v>
      </c>
      <c r="C4" s="1367" t="s">
        <v>205</v>
      </c>
      <c r="D4" s="1367" t="s">
        <v>21</v>
      </c>
      <c r="E4" s="1364" t="s">
        <v>22</v>
      </c>
      <c r="F4" s="1365"/>
      <c r="G4" s="1366"/>
      <c r="H4" s="68" t="s">
        <v>327</v>
      </c>
      <c r="I4" s="59"/>
      <c r="J4" s="59"/>
      <c r="K4" s="59"/>
    </row>
    <row r="5" spans="1:11" ht="19.5" customHeight="1">
      <c r="A5" s="57"/>
      <c r="B5" s="1368"/>
      <c r="C5" s="1368"/>
      <c r="D5" s="1368"/>
      <c r="E5" s="69" t="s">
        <v>24</v>
      </c>
      <c r="F5" s="69" t="s">
        <v>25</v>
      </c>
      <c r="G5" s="69" t="s">
        <v>26</v>
      </c>
      <c r="H5" s="70" t="s">
        <v>23</v>
      </c>
      <c r="I5" s="59"/>
      <c r="J5" s="59"/>
      <c r="K5" s="59"/>
    </row>
    <row r="6" spans="1:11" ht="19.5" customHeight="1">
      <c r="A6" s="57"/>
      <c r="B6" s="1368"/>
      <c r="C6" s="1368"/>
      <c r="D6" s="1368"/>
      <c r="E6" s="794" t="s">
        <v>129</v>
      </c>
      <c r="F6" s="206" t="s">
        <v>578</v>
      </c>
      <c r="G6" s="206" t="s">
        <v>579</v>
      </c>
      <c r="H6" s="420" t="s">
        <v>128</v>
      </c>
      <c r="I6" s="59"/>
      <c r="J6" s="59"/>
      <c r="K6" s="59"/>
    </row>
    <row r="7" spans="1:11" ht="19.5" customHeight="1">
      <c r="A7" s="57"/>
      <c r="B7" s="1369"/>
      <c r="C7" s="1369"/>
      <c r="D7" s="1369"/>
      <c r="E7" s="71">
        <v>2015</v>
      </c>
      <c r="F7" s="71">
        <v>2016</v>
      </c>
      <c r="G7" s="71">
        <v>2016</v>
      </c>
      <c r="H7" s="72">
        <v>2016</v>
      </c>
      <c r="I7" s="59"/>
      <c r="J7" s="59"/>
      <c r="K7" s="59"/>
    </row>
    <row r="8" spans="1:11" ht="19.5" customHeight="1">
      <c r="A8" s="57"/>
      <c r="B8" s="73"/>
      <c r="C8" s="74" t="s">
        <v>32</v>
      </c>
      <c r="D8" s="66"/>
      <c r="E8" s="66"/>
      <c r="F8" s="66"/>
      <c r="G8" s="66"/>
      <c r="H8" s="67"/>
      <c r="I8" s="59"/>
      <c r="J8" s="59"/>
      <c r="K8" s="59"/>
    </row>
    <row r="9" spans="1:11" ht="19.5" customHeight="1">
      <c r="A9" s="57"/>
      <c r="B9" s="73"/>
      <c r="C9" s="75"/>
      <c r="D9" s="75"/>
      <c r="E9" s="75"/>
      <c r="F9" s="75"/>
      <c r="G9" s="75"/>
      <c r="H9" s="76"/>
      <c r="I9" s="59"/>
      <c r="J9" s="59"/>
      <c r="K9" s="59"/>
    </row>
    <row r="10" spans="1:11" ht="19.5" customHeight="1">
      <c r="A10" s="57"/>
      <c r="B10" s="73"/>
      <c r="C10" s="89" t="s">
        <v>206</v>
      </c>
      <c r="D10" s="78" t="s">
        <v>572</v>
      </c>
      <c r="E10" s="79">
        <f>B30</f>
        <v>130.71</v>
      </c>
      <c r="F10" s="79">
        <f>C30</f>
        <v>144.23</v>
      </c>
      <c r="G10" s="79">
        <f>D30</f>
        <v>148.76</v>
      </c>
      <c r="H10" s="314">
        <f>E30</f>
        <v>145.63</v>
      </c>
      <c r="I10" s="59"/>
      <c r="J10" s="59"/>
      <c r="K10" s="59"/>
    </row>
    <row r="11" spans="1:11" ht="19.5" customHeight="1">
      <c r="A11" s="57"/>
      <c r="B11" s="73"/>
      <c r="C11" s="73"/>
      <c r="D11" s="78" t="s">
        <v>12</v>
      </c>
      <c r="E11" s="80">
        <f>($H$10/E10-1)*100</f>
        <v>11.414581898860066</v>
      </c>
      <c r="F11" s="80">
        <f>($H$10/F10-1)*100</f>
        <v>0.9706718435831707</v>
      </c>
      <c r="G11" s="80">
        <f>($H$10/G10-1)*100</f>
        <v>-2.104060231244953</v>
      </c>
      <c r="H11" s="81">
        <f>($H$10/H10-1)*100</f>
        <v>0</v>
      </c>
      <c r="I11" s="59"/>
      <c r="J11" s="59"/>
      <c r="K11" s="59"/>
    </row>
    <row r="12" spans="1:11" ht="19.5" customHeight="1">
      <c r="A12" s="57"/>
      <c r="B12" s="73"/>
      <c r="C12" s="89" t="s">
        <v>33</v>
      </c>
      <c r="D12" s="78" t="s">
        <v>34</v>
      </c>
      <c r="E12" s="79">
        <f>B32</f>
        <v>1666.86</v>
      </c>
      <c r="F12" s="79">
        <f>C32</f>
        <v>1767.6</v>
      </c>
      <c r="G12" s="79">
        <f>D32</f>
        <v>1808</v>
      </c>
      <c r="H12" s="314">
        <f>E32</f>
        <v>1810.8</v>
      </c>
      <c r="I12" s="59"/>
      <c r="J12" s="59"/>
      <c r="K12" s="59"/>
    </row>
    <row r="13" spans="1:11" ht="19.5" customHeight="1">
      <c r="A13" s="57"/>
      <c r="B13" s="73"/>
      <c r="C13" s="73"/>
      <c r="D13" s="78" t="s">
        <v>12</v>
      </c>
      <c r="E13" s="80">
        <f>($H$12/E12-1)*100</f>
        <v>8.635398293797913</v>
      </c>
      <c r="F13" s="80">
        <f>($H$12/F12-1)*100</f>
        <v>2.443991853360483</v>
      </c>
      <c r="G13" s="80">
        <f>($H$12/G12-1)*100</f>
        <v>0.15486725663715895</v>
      </c>
      <c r="H13" s="80">
        <f>($H$12/H12-1)*100</f>
        <v>0</v>
      </c>
      <c r="I13" s="59"/>
      <c r="J13" s="59"/>
      <c r="K13" s="59"/>
    </row>
    <row r="14" spans="1:11" ht="19.5" customHeight="1">
      <c r="A14" s="57"/>
      <c r="B14" s="73"/>
      <c r="C14" s="83"/>
      <c r="D14" s="71"/>
      <c r="E14" s="84"/>
      <c r="F14" s="84"/>
      <c r="G14" s="84"/>
      <c r="H14" s="85"/>
      <c r="I14" s="59"/>
      <c r="J14" s="59"/>
      <c r="K14" s="59"/>
    </row>
    <row r="15" spans="1:11" ht="19.5" customHeight="1">
      <c r="A15" s="57"/>
      <c r="B15" s="73"/>
      <c r="C15" s="74" t="s">
        <v>576</v>
      </c>
      <c r="D15" s="86"/>
      <c r="E15" s="66"/>
      <c r="F15" s="66"/>
      <c r="G15" s="66"/>
      <c r="H15" s="87"/>
      <c r="I15" s="59"/>
      <c r="J15" s="59"/>
      <c r="K15" s="59"/>
    </row>
    <row r="16" spans="1:11" ht="19.5" customHeight="1">
      <c r="A16" s="57"/>
      <c r="B16" s="73"/>
      <c r="C16" s="89" t="s">
        <v>7</v>
      </c>
      <c r="D16" s="78" t="s">
        <v>28</v>
      </c>
      <c r="E16" s="79">
        <f>B29</f>
        <v>455</v>
      </c>
      <c r="F16" s="79">
        <f>C29</f>
        <v>498.74</v>
      </c>
      <c r="G16" s="79">
        <f>D29</f>
        <v>498.77</v>
      </c>
      <c r="H16" s="82">
        <f>E29</f>
        <v>488.25</v>
      </c>
      <c r="I16" s="59"/>
      <c r="J16" s="59"/>
      <c r="K16" s="59"/>
    </row>
    <row r="17" spans="1:11" ht="19.5" customHeight="1">
      <c r="A17" s="57"/>
      <c r="B17" s="73"/>
      <c r="C17" s="77"/>
      <c r="D17" s="78" t="s">
        <v>12</v>
      </c>
      <c r="E17" s="80">
        <f>($H$16/E16-1)*100</f>
        <v>7.307692307692304</v>
      </c>
      <c r="F17" s="80">
        <f>($H$16/F16-1)*100</f>
        <v>-2.103300316798329</v>
      </c>
      <c r="G17" s="80">
        <f>($H$16/G16-1)*100</f>
        <v>-2.1091886039657504</v>
      </c>
      <c r="H17" s="80">
        <f>($H$16/H16-1)*100</f>
        <v>0</v>
      </c>
      <c r="I17" s="59"/>
      <c r="J17" s="59"/>
      <c r="K17" s="59"/>
    </row>
    <row r="18" spans="1:11" ht="19.5" customHeight="1">
      <c r="A18" s="57"/>
      <c r="B18" s="73"/>
      <c r="C18" s="77"/>
      <c r="D18" s="78"/>
      <c r="E18" s="80"/>
      <c r="F18" s="80"/>
      <c r="G18" s="288" t="s">
        <v>295</v>
      </c>
      <c r="H18" s="81">
        <v>3.2384</v>
      </c>
      <c r="I18" s="59"/>
      <c r="J18" s="59"/>
      <c r="K18" s="59"/>
    </row>
    <row r="19" spans="1:11" ht="19.5" customHeight="1">
      <c r="A19" s="57"/>
      <c r="B19" s="73"/>
      <c r="C19" s="90" t="s">
        <v>577</v>
      </c>
      <c r="D19" s="91"/>
      <c r="E19" s="92"/>
      <c r="F19" s="92"/>
      <c r="G19" s="92"/>
      <c r="H19" s="93"/>
      <c r="I19" s="59"/>
      <c r="J19" s="59"/>
      <c r="K19" s="59"/>
    </row>
    <row r="20" spans="1:11" ht="19.5" customHeight="1">
      <c r="A20" s="57"/>
      <c r="B20" s="94"/>
      <c r="C20" s="89" t="s">
        <v>29</v>
      </c>
      <c r="D20" s="78" t="s">
        <v>28</v>
      </c>
      <c r="E20" s="79">
        <f>B31</f>
        <v>325.16</v>
      </c>
      <c r="F20" s="79">
        <f>C31</f>
        <v>401.82</v>
      </c>
      <c r="G20" s="79">
        <f>D31</f>
        <v>413.27</v>
      </c>
      <c r="H20" s="82">
        <f>E31</f>
        <v>418.36</v>
      </c>
      <c r="I20" s="59"/>
      <c r="J20" s="59"/>
      <c r="K20" s="59"/>
    </row>
    <row r="21" spans="1:15" ht="19.5" customHeight="1">
      <c r="A21" s="57"/>
      <c r="B21" s="94"/>
      <c r="C21" s="77"/>
      <c r="D21" s="78" t="s">
        <v>12</v>
      </c>
      <c r="E21" s="80">
        <f>($H$20/E20-1)*100</f>
        <v>28.66281215401647</v>
      </c>
      <c r="F21" s="80">
        <f>($H$20/F20-1)*100</f>
        <v>4.1162709670997</v>
      </c>
      <c r="G21" s="80">
        <f>($H$20/G20-1)*100</f>
        <v>1.23164033198635</v>
      </c>
      <c r="H21" s="80">
        <f>($H$20/H20-1)*100</f>
        <v>0</v>
      </c>
      <c r="I21" s="59"/>
      <c r="J21" s="59"/>
      <c r="K21" s="59"/>
      <c r="O21" s="1139"/>
    </row>
    <row r="22" spans="1:11" ht="19.5" customHeight="1">
      <c r="A22" s="57"/>
      <c r="B22" s="94"/>
      <c r="C22" s="1362" t="s">
        <v>397</v>
      </c>
      <c r="D22" s="1363"/>
      <c r="E22" s="218"/>
      <c r="F22" s="218"/>
      <c r="G22" s="218"/>
      <c r="H22" s="93"/>
      <c r="I22" s="59"/>
      <c r="J22" s="59"/>
      <c r="K22" s="59"/>
    </row>
    <row r="23" spans="1:11" ht="19.5" customHeight="1">
      <c r="A23" s="57"/>
      <c r="B23" s="94"/>
      <c r="C23" s="263" t="s">
        <v>206</v>
      </c>
      <c r="D23" s="261" t="s">
        <v>47</v>
      </c>
      <c r="E23" s="286" t="s">
        <v>307</v>
      </c>
      <c r="F23" s="285">
        <f>H10*1.3228</f>
        <v>192.639364</v>
      </c>
      <c r="G23" s="259" t="s">
        <v>297</v>
      </c>
      <c r="H23" s="82">
        <f>F23*H18</f>
        <v>623.8433163776</v>
      </c>
      <c r="I23" s="59"/>
      <c r="J23" s="59"/>
      <c r="K23" s="59"/>
    </row>
    <row r="24" spans="1:11" ht="24" customHeight="1">
      <c r="A24" s="57"/>
      <c r="B24" s="65"/>
      <c r="C24" s="264" t="s">
        <v>33</v>
      </c>
      <c r="D24" s="262" t="s">
        <v>225</v>
      </c>
      <c r="E24" s="266" t="s">
        <v>296</v>
      </c>
      <c r="F24" s="265">
        <f>H12/16.6</f>
        <v>109.08433734939757</v>
      </c>
      <c r="G24" s="260" t="s">
        <v>298</v>
      </c>
      <c r="H24" s="219">
        <f>F24*H18</f>
        <v>353.25871807228907</v>
      </c>
      <c r="I24" s="59"/>
      <c r="J24" s="59"/>
      <c r="K24" s="59"/>
    </row>
    <row r="25" spans="1:11" ht="16.5" customHeight="1">
      <c r="A25" s="57"/>
      <c r="B25" s="61" t="s">
        <v>334</v>
      </c>
      <c r="C25" s="62"/>
      <c r="D25" s="62"/>
      <c r="E25" s="62"/>
      <c r="F25" s="62"/>
      <c r="G25" s="62"/>
      <c r="H25" s="62"/>
      <c r="I25" s="59"/>
      <c r="J25" s="350" t="s">
        <v>308</v>
      </c>
      <c r="K25" s="351">
        <f ca="1">NOW()</f>
        <v>42592.37758032407</v>
      </c>
    </row>
    <row r="26" ht="12.75">
      <c r="K26" s="4"/>
    </row>
    <row r="27" spans="1:11" ht="12.75">
      <c r="A27" s="3" t="s">
        <v>261</v>
      </c>
      <c r="K27" s="4"/>
    </row>
    <row r="28" spans="1:11" ht="12.75">
      <c r="A28" s="120"/>
      <c r="B28" s="52" t="s">
        <v>24</v>
      </c>
      <c r="C28" s="52" t="s">
        <v>25</v>
      </c>
      <c r="D28" s="52" t="s">
        <v>26</v>
      </c>
      <c r="E28" s="119" t="s">
        <v>27</v>
      </c>
      <c r="K28" s="4"/>
    </row>
    <row r="29" spans="1:5" ht="12.75">
      <c r="A29" s="54" t="s">
        <v>7</v>
      </c>
      <c r="B29" s="1233">
        <v>455</v>
      </c>
      <c r="C29" s="1233">
        <v>498.74</v>
      </c>
      <c r="D29" s="1233">
        <v>498.77</v>
      </c>
      <c r="E29" s="1233">
        <v>488.25</v>
      </c>
    </row>
    <row r="30" spans="1:9" ht="15">
      <c r="A30" s="53" t="s">
        <v>207</v>
      </c>
      <c r="B30" s="1234">
        <v>130.71</v>
      </c>
      <c r="C30" s="1234">
        <v>144.23</v>
      </c>
      <c r="D30" s="1234">
        <v>148.76</v>
      </c>
      <c r="E30" s="1234">
        <v>145.63</v>
      </c>
      <c r="G30" s="121"/>
      <c r="H30" s="121"/>
      <c r="I30" s="121"/>
    </row>
    <row r="31" spans="1:9" ht="14.25">
      <c r="A31" s="53" t="s">
        <v>29</v>
      </c>
      <c r="B31" s="1235">
        <v>325.16</v>
      </c>
      <c r="C31" s="1235">
        <v>401.82</v>
      </c>
      <c r="D31" s="1235">
        <v>413.27</v>
      </c>
      <c r="E31" s="1235">
        <v>418.36</v>
      </c>
      <c r="G31" s="122"/>
      <c r="H31" s="122"/>
      <c r="I31" s="122"/>
    </row>
    <row r="32" spans="1:9" ht="15">
      <c r="A32" s="55" t="s">
        <v>208</v>
      </c>
      <c r="B32" s="1236">
        <v>1666.86</v>
      </c>
      <c r="C32" s="1236">
        <v>1767.6</v>
      </c>
      <c r="D32" s="1236">
        <v>1808</v>
      </c>
      <c r="E32" s="1236">
        <v>1810.8</v>
      </c>
      <c r="G32" s="123"/>
      <c r="H32" s="124"/>
      <c r="I32" s="123"/>
    </row>
  </sheetData>
  <sheetProtection/>
  <mergeCells count="6">
    <mergeCell ref="C22:D22"/>
    <mergeCell ref="A1:K1"/>
    <mergeCell ref="E4:G4"/>
    <mergeCell ref="B4:B7"/>
    <mergeCell ref="C4:C7"/>
    <mergeCell ref="D4:D7"/>
  </mergeCells>
  <printOptions horizontalCentered="1" verticalCentered="1"/>
  <pageMargins left="0.31496062992125984" right="0.31496062992125984" top="0.7874015748031497" bottom="0.7874015748031497" header="0.5118110236220472" footer="0.31496062992125984"/>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dimension ref="A1:X25"/>
  <sheetViews>
    <sheetView zoomScalePageLayoutView="0" workbookViewId="0" topLeftCell="A1">
      <selection activeCell="T21" sqref="T21"/>
    </sheetView>
  </sheetViews>
  <sheetFormatPr defaultColWidth="9.140625" defaultRowHeight="12.75"/>
  <cols>
    <col min="1" max="2" width="2.7109375" style="0" customWidth="1"/>
    <col min="3" max="3" width="12.28125" style="0" customWidth="1"/>
    <col min="4" max="15" width="7.7109375" style="0" customWidth="1"/>
    <col min="16" max="16" width="11.57421875" style="0" customWidth="1"/>
    <col min="17" max="17" width="7.7109375" style="0" customWidth="1"/>
    <col min="18" max="19" width="2.7109375" style="0" customWidth="1"/>
    <col min="20" max="20" width="8.8515625" style="0" bestFit="1" customWidth="1"/>
  </cols>
  <sheetData>
    <row r="1" spans="1:19" ht="18" customHeight="1">
      <c r="A1" s="1323" t="s">
        <v>413</v>
      </c>
      <c r="B1" s="1323"/>
      <c r="C1" s="1323"/>
      <c r="D1" s="1323"/>
      <c r="E1" s="1323"/>
      <c r="F1" s="1323"/>
      <c r="G1" s="1323"/>
      <c r="H1" s="1323"/>
      <c r="I1" s="1323"/>
      <c r="J1" s="1323"/>
      <c r="K1" s="1323"/>
      <c r="L1" s="1323"/>
      <c r="M1" s="1323"/>
      <c r="N1" s="1323"/>
      <c r="O1" s="1323"/>
      <c r="P1" s="1323"/>
      <c r="Q1" s="1323"/>
      <c r="R1" s="1323"/>
      <c r="S1" s="1323"/>
    </row>
    <row r="2" spans="1:19" ht="21" customHeight="1">
      <c r="A2" s="60"/>
      <c r="B2" s="1334"/>
      <c r="C2" s="1334"/>
      <c r="D2" s="1334"/>
      <c r="E2" s="1334"/>
      <c r="F2" s="1334"/>
      <c r="G2" s="1334"/>
      <c r="H2" s="1334"/>
      <c r="I2" s="1334"/>
      <c r="J2" s="1334"/>
      <c r="K2" s="1334"/>
      <c r="L2" s="1334"/>
      <c r="M2" s="1334"/>
      <c r="N2" s="1334"/>
      <c r="O2" s="1334"/>
      <c r="P2" s="1334"/>
      <c r="Q2" s="1334"/>
      <c r="R2" s="1335"/>
      <c r="S2" s="57"/>
    </row>
    <row r="3" spans="1:19" ht="21" customHeight="1">
      <c r="A3" s="60"/>
      <c r="B3" s="95"/>
      <c r="C3" s="1371"/>
      <c r="D3" s="1371"/>
      <c r="E3" s="1371"/>
      <c r="F3" s="1371"/>
      <c r="G3" s="1371"/>
      <c r="H3" s="1371"/>
      <c r="I3" s="1371"/>
      <c r="J3" s="1371"/>
      <c r="K3" s="1371"/>
      <c r="L3" s="1371"/>
      <c r="M3" s="1371"/>
      <c r="N3" s="1371"/>
      <c r="O3" s="1371"/>
      <c r="P3" s="1371"/>
      <c r="Q3" s="1371"/>
      <c r="R3" s="96"/>
      <c r="S3" s="57"/>
    </row>
    <row r="4" spans="1:19" ht="21" customHeight="1">
      <c r="A4" s="60"/>
      <c r="B4" s="98"/>
      <c r="C4" s="133"/>
      <c r="D4" s="134"/>
      <c r="E4" s="134"/>
      <c r="F4" s="134"/>
      <c r="G4" s="134"/>
      <c r="H4" s="134"/>
      <c r="I4" s="134"/>
      <c r="J4" s="134"/>
      <c r="K4" s="134"/>
      <c r="L4" s="134"/>
      <c r="M4" s="133"/>
      <c r="N4" s="133"/>
      <c r="O4" s="293"/>
      <c r="P4" s="293"/>
      <c r="Q4" s="135"/>
      <c r="R4" s="106"/>
      <c r="S4" s="58"/>
    </row>
    <row r="5" spans="1:19" ht="21" customHeight="1">
      <c r="A5" s="60"/>
      <c r="B5" s="98"/>
      <c r="C5" s="1372"/>
      <c r="D5" s="1143"/>
      <c r="E5" s="1143"/>
      <c r="F5" s="1143"/>
      <c r="G5" s="1143"/>
      <c r="H5" s="1143"/>
      <c r="I5" s="1143"/>
      <c r="J5" s="1143"/>
      <c r="K5" s="1143"/>
      <c r="L5" s="1143"/>
      <c r="M5" s="1143"/>
      <c r="N5" s="1143"/>
      <c r="O5" s="1143"/>
      <c r="P5" s="1143"/>
      <c r="Q5" s="1143"/>
      <c r="R5" s="106"/>
      <c r="S5" s="58"/>
    </row>
    <row r="6" spans="1:19" ht="21" customHeight="1">
      <c r="A6" s="60"/>
      <c r="B6" s="99"/>
      <c r="C6" s="1372"/>
      <c r="D6" s="1370"/>
      <c r="E6" s="1370"/>
      <c r="F6" s="1370"/>
      <c r="G6" s="1144"/>
      <c r="H6" s="1145"/>
      <c r="I6" s="1144"/>
      <c r="J6" s="1144"/>
      <c r="K6" s="1145"/>
      <c r="L6" s="1144"/>
      <c r="M6" s="1146"/>
      <c r="N6" s="1146"/>
      <c r="O6" s="1146"/>
      <c r="P6" s="1146"/>
      <c r="Q6" s="1146"/>
      <c r="R6" s="103"/>
      <c r="S6" s="58"/>
    </row>
    <row r="7" spans="1:19" ht="21" customHeight="1">
      <c r="A7" s="60"/>
      <c r="B7" s="99"/>
      <c r="C7" s="1372"/>
      <c r="D7" s="1370"/>
      <c r="E7" s="1370"/>
      <c r="F7" s="1370"/>
      <c r="G7" s="1370"/>
      <c r="H7" s="1370"/>
      <c r="I7" s="1370"/>
      <c r="J7" s="1146"/>
      <c r="K7" s="1146"/>
      <c r="L7" s="1146"/>
      <c r="M7" s="1146"/>
      <c r="N7" s="1146"/>
      <c r="O7" s="1146"/>
      <c r="P7" s="1146"/>
      <c r="Q7" s="1146"/>
      <c r="R7" s="103"/>
      <c r="S7" s="58"/>
    </row>
    <row r="8" spans="1:19" ht="21" customHeight="1">
      <c r="A8" s="60"/>
      <c r="B8" s="99"/>
      <c r="C8" s="1372"/>
      <c r="D8" s="1370"/>
      <c r="E8" s="1370"/>
      <c r="F8" s="1370"/>
      <c r="G8" s="1370"/>
      <c r="H8" s="1370"/>
      <c r="I8" s="1370"/>
      <c r="J8" s="1373"/>
      <c r="K8" s="1373"/>
      <c r="L8" s="1373"/>
      <c r="M8" s="1370"/>
      <c r="N8" s="1370"/>
      <c r="O8" s="1370"/>
      <c r="P8" s="1370"/>
      <c r="Q8" s="1370"/>
      <c r="R8" s="103"/>
      <c r="S8" s="58"/>
    </row>
    <row r="9" spans="1:19" ht="21" customHeight="1">
      <c r="A9" s="60"/>
      <c r="B9" s="99"/>
      <c r="C9" s="1147"/>
      <c r="D9" s="1148"/>
      <c r="E9" s="1149"/>
      <c r="F9" s="125"/>
      <c r="G9" s="1148"/>
      <c r="H9" s="1149"/>
      <c r="I9" s="125"/>
      <c r="J9" s="1148"/>
      <c r="K9" s="1149"/>
      <c r="L9" s="125"/>
      <c r="M9" s="1148"/>
      <c r="N9" s="1149"/>
      <c r="O9" s="1148"/>
      <c r="P9" s="1150"/>
      <c r="Q9" s="125"/>
      <c r="R9" s="103"/>
      <c r="S9" s="58"/>
    </row>
    <row r="10" spans="1:19" ht="21" customHeight="1">
      <c r="A10" s="60"/>
      <c r="B10" s="99"/>
      <c r="C10" s="1147"/>
      <c r="D10" s="1148"/>
      <c r="E10" s="1149"/>
      <c r="F10" s="125"/>
      <c r="G10" s="1148"/>
      <c r="H10" s="1149"/>
      <c r="I10" s="125"/>
      <c r="J10" s="1148"/>
      <c r="K10" s="1149"/>
      <c r="L10" s="193"/>
      <c r="M10" s="1148"/>
      <c r="N10" s="1149"/>
      <c r="O10" s="1148"/>
      <c r="P10" s="1149"/>
      <c r="Q10" s="125"/>
      <c r="R10" s="103"/>
      <c r="S10" s="58"/>
    </row>
    <row r="11" spans="1:19" ht="21" customHeight="1">
      <c r="A11" s="60"/>
      <c r="B11" s="99"/>
      <c r="C11" s="1147"/>
      <c r="D11" s="1148"/>
      <c r="E11" s="1149"/>
      <c r="F11" s="125"/>
      <c r="G11" s="1148"/>
      <c r="H11" s="1149"/>
      <c r="I11" s="125"/>
      <c r="J11" s="1148"/>
      <c r="K11" s="1149"/>
      <c r="L11" s="125"/>
      <c r="M11" s="1148"/>
      <c r="N11" s="1149"/>
      <c r="O11" s="1148"/>
      <c r="P11" s="1149"/>
      <c r="Q11" s="125"/>
      <c r="R11" s="103"/>
      <c r="S11" s="58"/>
    </row>
    <row r="12" spans="1:20" ht="21" customHeight="1">
      <c r="A12" s="60"/>
      <c r="B12" s="99"/>
      <c r="C12" s="1147"/>
      <c r="D12" s="1148"/>
      <c r="E12" s="1149"/>
      <c r="F12" s="125"/>
      <c r="G12" s="1148"/>
      <c r="H12" s="1149"/>
      <c r="I12" s="125"/>
      <c r="J12" s="1148"/>
      <c r="K12" s="1149"/>
      <c r="L12" s="125"/>
      <c r="M12" s="1148"/>
      <c r="N12" s="1149"/>
      <c r="O12" s="1148"/>
      <c r="P12" s="1149"/>
      <c r="Q12" s="125"/>
      <c r="R12" s="103"/>
      <c r="S12" s="58"/>
      <c r="T12" s="51"/>
    </row>
    <row r="13" spans="1:20" ht="21" customHeight="1">
      <c r="A13" s="60"/>
      <c r="B13" s="99"/>
      <c r="C13" s="1147"/>
      <c r="D13" s="1148"/>
      <c r="E13" s="1148"/>
      <c r="F13" s="125"/>
      <c r="G13" s="1148"/>
      <c r="H13" s="1148"/>
      <c r="I13" s="125"/>
      <c r="J13" s="1148"/>
      <c r="K13" s="1148"/>
      <c r="L13" s="125"/>
      <c r="M13" s="1148"/>
      <c r="N13" s="1148"/>
      <c r="O13" s="1148"/>
      <c r="P13" s="1148"/>
      <c r="Q13" s="125"/>
      <c r="R13" s="103"/>
      <c r="S13" s="58"/>
      <c r="T13" s="51"/>
    </row>
    <row r="14" spans="1:20" ht="21" customHeight="1">
      <c r="A14" s="60"/>
      <c r="B14" s="99"/>
      <c r="C14" s="1147"/>
      <c r="D14" s="1148"/>
      <c r="E14" s="1148"/>
      <c r="F14" s="125"/>
      <c r="G14" s="1148"/>
      <c r="H14" s="1148"/>
      <c r="I14" s="125"/>
      <c r="J14" s="1148"/>
      <c r="K14" s="1148"/>
      <c r="L14" s="125"/>
      <c r="M14" s="1148"/>
      <c r="N14" s="1148"/>
      <c r="O14" s="1148"/>
      <c r="P14" s="1148"/>
      <c r="Q14" s="125"/>
      <c r="R14" s="103"/>
      <c r="S14" s="58"/>
      <c r="T14" s="51"/>
    </row>
    <row r="15" spans="1:24" ht="21" customHeight="1">
      <c r="A15" s="60"/>
      <c r="B15" s="99"/>
      <c r="C15" s="1147"/>
      <c r="D15" s="1148"/>
      <c r="E15" s="1148"/>
      <c r="F15" s="125"/>
      <c r="G15" s="1148"/>
      <c r="H15" s="1148"/>
      <c r="I15" s="125"/>
      <c r="J15" s="1148"/>
      <c r="K15" s="1148"/>
      <c r="L15" s="125"/>
      <c r="M15" s="1148"/>
      <c r="N15" s="1148"/>
      <c r="O15" s="1148"/>
      <c r="P15" s="1148"/>
      <c r="Q15" s="125"/>
      <c r="R15" s="103"/>
      <c r="S15" s="57"/>
      <c r="T15" s="51"/>
      <c r="U15" s="540"/>
      <c r="V15" s="540"/>
      <c r="W15" s="540"/>
      <c r="X15" s="540"/>
    </row>
    <row r="16" spans="1:24" ht="21" customHeight="1">
      <c r="A16" s="60"/>
      <c r="B16" s="99"/>
      <c r="C16" s="1147"/>
      <c r="D16" s="1148"/>
      <c r="E16" s="1149"/>
      <c r="F16" s="125"/>
      <c r="G16" s="1148"/>
      <c r="H16" s="1149"/>
      <c r="I16" s="125"/>
      <c r="J16" s="1148"/>
      <c r="K16" s="1151"/>
      <c r="L16" s="125"/>
      <c r="M16" s="1148"/>
      <c r="N16" s="1151"/>
      <c r="O16" s="1148"/>
      <c r="P16" s="1151"/>
      <c r="Q16" s="125"/>
      <c r="R16" s="103"/>
      <c r="S16" s="57"/>
      <c r="T16" s="51"/>
      <c r="U16" s="540"/>
      <c r="V16" s="540"/>
      <c r="W16" s="540"/>
      <c r="X16" s="540"/>
    </row>
    <row r="17" spans="1:24" ht="21" customHeight="1">
      <c r="A17" s="60"/>
      <c r="B17" s="99"/>
      <c r="C17" s="1147"/>
      <c r="D17" s="1148"/>
      <c r="E17" s="1149"/>
      <c r="F17" s="125"/>
      <c r="G17" s="1148"/>
      <c r="H17" s="1149"/>
      <c r="I17" s="125"/>
      <c r="J17" s="1148"/>
      <c r="K17" s="1149"/>
      <c r="L17" s="125"/>
      <c r="M17" s="1148"/>
      <c r="N17" s="1149"/>
      <c r="O17" s="1148"/>
      <c r="P17" s="1149"/>
      <c r="Q17" s="125"/>
      <c r="R17" s="103"/>
      <c r="S17" s="57"/>
      <c r="T17" s="51"/>
      <c r="U17" s="540"/>
      <c r="V17" s="540"/>
      <c r="W17" s="540"/>
      <c r="X17" s="540"/>
    </row>
    <row r="18" spans="1:24" ht="21" customHeight="1">
      <c r="A18" s="60"/>
      <c r="B18" s="99"/>
      <c r="C18" s="1147"/>
      <c r="D18" s="1148"/>
      <c r="E18" s="1149"/>
      <c r="F18" s="125"/>
      <c r="G18" s="1148"/>
      <c r="H18" s="1149"/>
      <c r="I18" s="125"/>
      <c r="J18" s="1148"/>
      <c r="K18" s="1149"/>
      <c r="L18" s="125"/>
      <c r="M18" s="1148"/>
      <c r="N18" s="1149"/>
      <c r="O18" s="1148"/>
      <c r="P18" s="1149"/>
      <c r="Q18" s="125"/>
      <c r="R18" s="103"/>
      <c r="S18" s="57"/>
      <c r="T18" s="51"/>
      <c r="U18" s="540"/>
      <c r="V18" s="540"/>
      <c r="W18" s="540"/>
      <c r="X18" s="540"/>
    </row>
    <row r="19" spans="1:20" ht="21" customHeight="1">
      <c r="A19" s="60"/>
      <c r="B19" s="99"/>
      <c r="C19" s="1147"/>
      <c r="D19" s="1148"/>
      <c r="E19" s="1149"/>
      <c r="F19" s="125"/>
      <c r="G19" s="1148"/>
      <c r="H19" s="1149"/>
      <c r="I19" s="125"/>
      <c r="J19" s="1148"/>
      <c r="K19" s="1149"/>
      <c r="L19" s="125"/>
      <c r="M19" s="1148"/>
      <c r="N19" s="1149"/>
      <c r="O19" s="1148"/>
      <c r="P19" s="1149"/>
      <c r="Q19" s="125"/>
      <c r="R19" s="103"/>
      <c r="S19" s="57"/>
      <c r="T19" s="51"/>
    </row>
    <row r="20" spans="1:20" ht="21" customHeight="1">
      <c r="A20" s="60"/>
      <c r="B20" s="99"/>
      <c r="C20" s="1142"/>
      <c r="D20" s="1152"/>
      <c r="E20" s="1152"/>
      <c r="F20" s="1152"/>
      <c r="G20" s="1152"/>
      <c r="H20" s="1152"/>
      <c r="I20" s="1152"/>
      <c r="J20" s="1152"/>
      <c r="K20" s="1152"/>
      <c r="L20" s="1152"/>
      <c r="M20" s="1152"/>
      <c r="N20" s="1152"/>
      <c r="O20" s="1152"/>
      <c r="P20" s="1152"/>
      <c r="Q20" s="1152"/>
      <c r="R20" s="103"/>
      <c r="S20" s="57"/>
      <c r="T20" s="51"/>
    </row>
    <row r="21" spans="1:20" ht="21" customHeight="1">
      <c r="A21" s="60"/>
      <c r="B21" s="117"/>
      <c r="C21" s="799" t="s">
        <v>483</v>
      </c>
      <c r="D21" s="296"/>
      <c r="E21" s="296"/>
      <c r="F21" s="296"/>
      <c r="G21" s="296"/>
      <c r="H21" s="296"/>
      <c r="I21" s="296"/>
      <c r="J21" s="297"/>
      <c r="K21" s="297"/>
      <c r="L21" s="296"/>
      <c r="M21" s="297"/>
      <c r="N21" s="297"/>
      <c r="O21" s="297"/>
      <c r="P21" s="297"/>
      <c r="Q21" s="296"/>
      <c r="R21" s="129"/>
      <c r="S21" s="57"/>
      <c r="T21" s="51"/>
    </row>
    <row r="22" spans="1:20" ht="21" customHeight="1">
      <c r="A22" s="60"/>
      <c r="B22" s="177"/>
      <c r="C22" s="800" t="s">
        <v>340</v>
      </c>
      <c r="D22" s="298"/>
      <c r="E22" s="298"/>
      <c r="F22" s="298"/>
      <c r="G22" s="298"/>
      <c r="H22" s="298"/>
      <c r="I22" s="298"/>
      <c r="J22" s="299"/>
      <c r="K22" s="299"/>
      <c r="L22" s="298"/>
      <c r="M22" s="299"/>
      <c r="N22" s="299"/>
      <c r="O22" s="299"/>
      <c r="P22" s="299"/>
      <c r="Q22" s="298"/>
      <c r="R22" s="178"/>
      <c r="S22" s="57"/>
      <c r="T22" s="51"/>
    </row>
    <row r="23" spans="1:20" ht="18" customHeight="1">
      <c r="A23" s="57"/>
      <c r="B23" s="132"/>
      <c r="C23" s="132"/>
      <c r="D23" s="132"/>
      <c r="E23" s="132"/>
      <c r="F23" s="132"/>
      <c r="G23" s="132"/>
      <c r="H23" s="132"/>
      <c r="I23" s="132"/>
      <c r="J23" s="132"/>
      <c r="K23" s="132"/>
      <c r="L23" s="132"/>
      <c r="M23" s="132"/>
      <c r="N23" s="132"/>
      <c r="O23" s="132"/>
      <c r="P23" s="132"/>
      <c r="Q23" s="132"/>
      <c r="R23" s="132"/>
      <c r="S23" s="57"/>
      <c r="T23" s="51"/>
    </row>
    <row r="24" ht="15">
      <c r="T24" s="51"/>
    </row>
    <row r="25" spans="11:14" ht="12.75">
      <c r="K25" s="540"/>
      <c r="L25" s="540"/>
      <c r="M25" s="540"/>
      <c r="N25" s="540"/>
    </row>
  </sheetData>
  <sheetProtection/>
  <mergeCells count="12">
    <mergeCell ref="M8:N8"/>
    <mergeCell ref="O8:Q8"/>
    <mergeCell ref="A1:S1"/>
    <mergeCell ref="B2:R2"/>
    <mergeCell ref="C3:Q3"/>
    <mergeCell ref="C5:C8"/>
    <mergeCell ref="D6:F6"/>
    <mergeCell ref="D7:F7"/>
    <mergeCell ref="G7:I7"/>
    <mergeCell ref="D8:F8"/>
    <mergeCell ref="G8:I8"/>
    <mergeCell ref="J8:L8"/>
  </mergeCells>
  <printOptions/>
  <pageMargins left="0.5118110236220472" right="0.5118110236220472" top="0.7874015748031497" bottom="0.7874015748031497" header="0.31496062992125984" footer="0.31496062992125984"/>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dimension ref="A1:U26"/>
  <sheetViews>
    <sheetView zoomScalePageLayoutView="0" workbookViewId="0" topLeftCell="A1">
      <selection activeCell="U23" sqref="U23"/>
    </sheetView>
  </sheetViews>
  <sheetFormatPr defaultColWidth="9.140625" defaultRowHeight="12.75"/>
  <cols>
    <col min="1" max="2" width="2.7109375" style="0" customWidth="1"/>
    <col min="3" max="3" width="12.28125" style="0" customWidth="1"/>
    <col min="4" max="5" width="7.7109375" style="0" customWidth="1"/>
    <col min="6" max="6" width="7.00390625" style="0" bestFit="1" customWidth="1"/>
    <col min="7" max="8" width="7.7109375" style="0" customWidth="1"/>
    <col min="9" max="9" width="7.00390625" style="0" bestFit="1" customWidth="1"/>
    <col min="10" max="14" width="7.7109375" style="0" customWidth="1"/>
    <col min="15" max="15" width="7.00390625" style="0" bestFit="1" customWidth="1"/>
    <col min="16" max="18" width="7.7109375" style="0" customWidth="1"/>
    <col min="19" max="20" width="2.7109375" style="0" customWidth="1"/>
    <col min="21" max="21" width="8.8515625" style="0" bestFit="1" customWidth="1"/>
  </cols>
  <sheetData>
    <row r="1" spans="1:20" ht="18" customHeight="1">
      <c r="A1" s="1323" t="s">
        <v>414</v>
      </c>
      <c r="B1" s="1323"/>
      <c r="C1" s="1323"/>
      <c r="D1" s="1323"/>
      <c r="E1" s="1323"/>
      <c r="F1" s="1323"/>
      <c r="G1" s="1323"/>
      <c r="H1" s="1323"/>
      <c r="I1" s="1323"/>
      <c r="J1" s="1323"/>
      <c r="K1" s="1323"/>
      <c r="L1" s="1323"/>
      <c r="M1" s="1323"/>
      <c r="N1" s="1323"/>
      <c r="O1" s="1323"/>
      <c r="P1" s="1323"/>
      <c r="Q1" s="1323"/>
      <c r="R1" s="1323"/>
      <c r="S1" s="1323"/>
      <c r="T1" s="1323"/>
    </row>
    <row r="2" spans="1:20" ht="19.5" customHeight="1">
      <c r="A2" s="60"/>
      <c r="B2" s="1334"/>
      <c r="C2" s="1334"/>
      <c r="D2" s="1334"/>
      <c r="E2" s="1334"/>
      <c r="F2" s="1334"/>
      <c r="G2" s="1334"/>
      <c r="H2" s="1334"/>
      <c r="I2" s="1334"/>
      <c r="J2" s="1334"/>
      <c r="K2" s="1334"/>
      <c r="L2" s="1334"/>
      <c r="M2" s="1334"/>
      <c r="N2" s="1334"/>
      <c r="O2" s="1334"/>
      <c r="P2" s="1334"/>
      <c r="Q2" s="1334"/>
      <c r="R2" s="1334"/>
      <c r="S2" s="1335"/>
      <c r="T2" s="57"/>
    </row>
    <row r="3" spans="1:20" ht="19.5" customHeight="1">
      <c r="A3" s="60"/>
      <c r="B3" s="95"/>
      <c r="C3" s="1371" t="s">
        <v>442</v>
      </c>
      <c r="D3" s="1371"/>
      <c r="E3" s="1371"/>
      <c r="F3" s="1371"/>
      <c r="G3" s="1371"/>
      <c r="H3" s="1371"/>
      <c r="I3" s="1371"/>
      <c r="J3" s="1371"/>
      <c r="K3" s="1371"/>
      <c r="L3" s="1371"/>
      <c r="M3" s="1371"/>
      <c r="N3" s="1371"/>
      <c r="O3" s="1371"/>
      <c r="P3" s="1371"/>
      <c r="Q3" s="1371"/>
      <c r="R3" s="1371"/>
      <c r="S3" s="96"/>
      <c r="T3" s="57"/>
    </row>
    <row r="4" spans="1:20" ht="19.5" customHeight="1">
      <c r="A4" s="60"/>
      <c r="B4" s="98"/>
      <c r="C4" s="133"/>
      <c r="D4" s="134"/>
      <c r="E4" s="134"/>
      <c r="F4" s="134"/>
      <c r="G4" s="134"/>
      <c r="H4" s="134"/>
      <c r="I4" s="134"/>
      <c r="J4" s="134"/>
      <c r="K4" s="134"/>
      <c r="L4" s="134"/>
      <c r="M4" s="133"/>
      <c r="N4" s="133"/>
      <c r="O4" s="133"/>
      <c r="P4" s="293"/>
      <c r="Q4" s="293"/>
      <c r="R4" s="135" t="s">
        <v>52</v>
      </c>
      <c r="S4" s="106"/>
      <c r="T4" s="58"/>
    </row>
    <row r="5" spans="1:20" ht="19.5" customHeight="1">
      <c r="A5" s="60"/>
      <c r="B5" s="98"/>
      <c r="C5" s="1383" t="s">
        <v>53</v>
      </c>
      <c r="D5" s="476">
        <v>2014</v>
      </c>
      <c r="E5" s="477">
        <v>2015</v>
      </c>
      <c r="F5" s="478">
        <v>2016</v>
      </c>
      <c r="G5" s="476">
        <v>2014</v>
      </c>
      <c r="H5" s="477">
        <v>2015</v>
      </c>
      <c r="I5" s="478">
        <v>2016</v>
      </c>
      <c r="J5" s="476">
        <v>2014</v>
      </c>
      <c r="K5" s="477">
        <v>2015</v>
      </c>
      <c r="L5" s="478">
        <v>2016</v>
      </c>
      <c r="M5" s="476">
        <v>2014</v>
      </c>
      <c r="N5" s="477">
        <v>2015</v>
      </c>
      <c r="O5" s="478">
        <v>2016</v>
      </c>
      <c r="P5" s="476">
        <v>2014</v>
      </c>
      <c r="Q5" s="477">
        <v>2015</v>
      </c>
      <c r="R5" s="477">
        <v>2016</v>
      </c>
      <c r="S5" s="106"/>
      <c r="T5" s="58"/>
    </row>
    <row r="6" spans="1:20" ht="19.5" customHeight="1">
      <c r="A6" s="60"/>
      <c r="B6" s="99"/>
      <c r="C6" s="1384"/>
      <c r="D6" s="1374" t="s">
        <v>54</v>
      </c>
      <c r="E6" s="1375"/>
      <c r="F6" s="1376"/>
      <c r="G6" s="479"/>
      <c r="H6" s="487" t="s">
        <v>338</v>
      </c>
      <c r="I6" s="481"/>
      <c r="J6" s="480"/>
      <c r="K6" s="487" t="s">
        <v>339</v>
      </c>
      <c r="L6" s="481"/>
      <c r="M6" s="475" t="s">
        <v>336</v>
      </c>
      <c r="N6" s="475"/>
      <c r="O6" s="475"/>
      <c r="P6" s="482" t="s">
        <v>337</v>
      </c>
      <c r="Q6" s="475"/>
      <c r="R6" s="475"/>
      <c r="S6" s="103"/>
      <c r="T6" s="58"/>
    </row>
    <row r="7" spans="1:20" ht="19.5" customHeight="1">
      <c r="A7" s="60"/>
      <c r="B7" s="99"/>
      <c r="C7" s="1384"/>
      <c r="D7" s="1374" t="s">
        <v>55</v>
      </c>
      <c r="E7" s="1375"/>
      <c r="F7" s="1376"/>
      <c r="G7" s="1374" t="s">
        <v>56</v>
      </c>
      <c r="H7" s="1375"/>
      <c r="I7" s="1376"/>
      <c r="J7" s="475" t="s">
        <v>335</v>
      </c>
      <c r="K7" s="475"/>
      <c r="L7" s="483"/>
      <c r="M7" s="475" t="s">
        <v>441</v>
      </c>
      <c r="N7" s="475"/>
      <c r="O7" s="475"/>
      <c r="P7" s="482" t="s">
        <v>57</v>
      </c>
      <c r="Q7" s="475"/>
      <c r="R7" s="475"/>
      <c r="S7" s="103"/>
      <c r="T7" s="58"/>
    </row>
    <row r="8" spans="1:20" ht="19.5" customHeight="1">
      <c r="A8" s="60"/>
      <c r="B8" s="99"/>
      <c r="C8" s="1385"/>
      <c r="D8" s="1377" t="s">
        <v>58</v>
      </c>
      <c r="E8" s="1378"/>
      <c r="F8" s="1379"/>
      <c r="G8" s="1378" t="s">
        <v>59</v>
      </c>
      <c r="H8" s="1378"/>
      <c r="I8" s="1378"/>
      <c r="J8" s="1380" t="s">
        <v>60</v>
      </c>
      <c r="K8" s="1381"/>
      <c r="L8" s="1382"/>
      <c r="M8" s="1378" t="s">
        <v>61</v>
      </c>
      <c r="N8" s="1378"/>
      <c r="O8" s="1378"/>
      <c r="P8" s="1377" t="s">
        <v>61</v>
      </c>
      <c r="Q8" s="1378"/>
      <c r="R8" s="1378"/>
      <c r="S8" s="103"/>
      <c r="T8" s="58"/>
    </row>
    <row r="9" spans="1:20" ht="19.5" customHeight="1">
      <c r="A9" s="60"/>
      <c r="B9" s="99"/>
      <c r="C9" s="484" t="s">
        <v>62</v>
      </c>
      <c r="D9" s="10">
        <v>289.44</v>
      </c>
      <c r="E9" s="796">
        <v>465.92</v>
      </c>
      <c r="F9" s="798">
        <v>491.31</v>
      </c>
      <c r="G9" s="10">
        <v>226.82</v>
      </c>
      <c r="H9" s="220">
        <v>283.29</v>
      </c>
      <c r="I9" s="798">
        <v>389.07</v>
      </c>
      <c r="J9" s="10">
        <v>244.45</v>
      </c>
      <c r="K9" s="220">
        <v>340</v>
      </c>
      <c r="L9" s="801">
        <v>482</v>
      </c>
      <c r="M9" s="10">
        <v>214.09</v>
      </c>
      <c r="N9" s="220">
        <v>273.81</v>
      </c>
      <c r="O9" s="798">
        <v>465.25</v>
      </c>
      <c r="P9" s="10">
        <v>231.82</v>
      </c>
      <c r="Q9" s="220">
        <v>280.95</v>
      </c>
      <c r="R9" s="816">
        <v>372.7</v>
      </c>
      <c r="S9" s="103"/>
      <c r="T9" s="58"/>
    </row>
    <row r="10" spans="1:20" ht="19.5" customHeight="1">
      <c r="A10" s="60"/>
      <c r="B10" s="99"/>
      <c r="C10" s="485" t="s">
        <v>63</v>
      </c>
      <c r="D10" s="10">
        <v>366.32</v>
      </c>
      <c r="E10" s="796">
        <v>459.99</v>
      </c>
      <c r="F10" s="538">
        <v>489.82</v>
      </c>
      <c r="G10" s="10">
        <v>243.48</v>
      </c>
      <c r="H10" s="796">
        <v>299.58</v>
      </c>
      <c r="I10" s="538">
        <v>393.61</v>
      </c>
      <c r="J10" s="10">
        <v>268.5</v>
      </c>
      <c r="K10" s="796">
        <v>328.33</v>
      </c>
      <c r="L10" s="538">
        <v>486.26</v>
      </c>
      <c r="M10" s="10">
        <v>236.25</v>
      </c>
      <c r="N10" s="796">
        <v>278.89</v>
      </c>
      <c r="O10" s="538">
        <v>465.45</v>
      </c>
      <c r="P10" s="10">
        <v>243</v>
      </c>
      <c r="Q10" s="220">
        <v>285</v>
      </c>
      <c r="R10">
        <v>380.16</v>
      </c>
      <c r="S10" s="103"/>
      <c r="T10" s="58"/>
    </row>
    <row r="11" spans="1:20" ht="19.5" customHeight="1">
      <c r="A11" s="60"/>
      <c r="B11" s="99"/>
      <c r="C11" s="485" t="s">
        <v>64</v>
      </c>
      <c r="D11" s="10">
        <v>437.24</v>
      </c>
      <c r="E11" s="796">
        <v>477.1</v>
      </c>
      <c r="F11" s="538">
        <v>491.07</v>
      </c>
      <c r="G11" s="10">
        <v>263.25</v>
      </c>
      <c r="H11" s="796">
        <v>303.44</v>
      </c>
      <c r="I11" s="538">
        <v>363.88</v>
      </c>
      <c r="J11" s="10">
        <v>332.63</v>
      </c>
      <c r="K11" s="796">
        <v>330</v>
      </c>
      <c r="L11" s="1137">
        <v>487</v>
      </c>
      <c r="M11" s="10">
        <v>288.68</v>
      </c>
      <c r="N11" s="796">
        <v>290</v>
      </c>
      <c r="O11" s="538">
        <v>448.41</v>
      </c>
      <c r="P11" s="10">
        <v>282.37</v>
      </c>
      <c r="Q11" s="221">
        <v>280</v>
      </c>
      <c r="R11">
        <v>351.59</v>
      </c>
      <c r="S11" s="103"/>
      <c r="T11" s="58"/>
    </row>
    <row r="12" spans="1:20" ht="19.5" customHeight="1">
      <c r="A12" s="60"/>
      <c r="B12" s="99"/>
      <c r="C12" s="485" t="s">
        <v>65</v>
      </c>
      <c r="D12" s="10">
        <v>449.45</v>
      </c>
      <c r="E12" s="796">
        <v>445.69</v>
      </c>
      <c r="F12" s="538">
        <v>466.71</v>
      </c>
      <c r="G12" s="10">
        <v>256.77</v>
      </c>
      <c r="H12" s="796">
        <v>295.88</v>
      </c>
      <c r="I12" s="538">
        <v>379.33</v>
      </c>
      <c r="J12" s="10">
        <v>329.5</v>
      </c>
      <c r="K12" s="796">
        <v>330</v>
      </c>
      <c r="L12" s="1137">
        <v>470.6</v>
      </c>
      <c r="M12" s="10">
        <v>278</v>
      </c>
      <c r="N12" s="796">
        <v>299</v>
      </c>
      <c r="O12" s="538">
        <v>452.85</v>
      </c>
      <c r="P12" s="10">
        <v>265</v>
      </c>
      <c r="Q12" s="221">
        <v>297.5</v>
      </c>
      <c r="R12" s="816">
        <v>361.9</v>
      </c>
      <c r="S12" s="103"/>
      <c r="T12" s="58"/>
    </row>
    <row r="13" spans="1:21" ht="19.5" customHeight="1">
      <c r="A13" s="60"/>
      <c r="B13" s="99"/>
      <c r="C13" s="485" t="s">
        <v>66</v>
      </c>
      <c r="D13" s="10">
        <v>429.28</v>
      </c>
      <c r="E13" s="796">
        <v>421.95</v>
      </c>
      <c r="F13" s="538">
        <v>460.37</v>
      </c>
      <c r="G13" s="10">
        <v>245.82</v>
      </c>
      <c r="H13" s="796">
        <v>293.33</v>
      </c>
      <c r="I13" s="538">
        <v>386.95</v>
      </c>
      <c r="J13" s="10">
        <v>342.14</v>
      </c>
      <c r="K13" s="796">
        <v>318</v>
      </c>
      <c r="L13" s="538">
        <v>461.19</v>
      </c>
      <c r="M13" s="10">
        <v>279.05</v>
      </c>
      <c r="N13" s="796">
        <v>292</v>
      </c>
      <c r="O13" s="538">
        <v>446.29</v>
      </c>
      <c r="P13" s="10">
        <v>258.1</v>
      </c>
      <c r="Q13" s="221">
        <v>292</v>
      </c>
      <c r="R13">
        <v>372.95</v>
      </c>
      <c r="S13" s="103"/>
      <c r="T13" s="58"/>
      <c r="U13" s="51"/>
    </row>
    <row r="14" spans="1:21" ht="19.5" customHeight="1">
      <c r="A14" s="60"/>
      <c r="B14" s="99"/>
      <c r="C14" s="485" t="s">
        <v>67</v>
      </c>
      <c r="D14" s="10">
        <v>396.74</v>
      </c>
      <c r="E14" s="10">
        <v>424.02</v>
      </c>
      <c r="F14" s="538">
        <v>484.97</v>
      </c>
      <c r="G14" s="10">
        <v>235.14</v>
      </c>
      <c r="H14" s="10">
        <v>301.03</v>
      </c>
      <c r="I14" s="538">
        <v>391.41</v>
      </c>
      <c r="J14" s="10">
        <v>318</v>
      </c>
      <c r="K14" s="10">
        <v>315.24</v>
      </c>
      <c r="L14" s="538">
        <v>482.14</v>
      </c>
      <c r="M14" s="10">
        <v>262.25</v>
      </c>
      <c r="N14" s="10">
        <v>280</v>
      </c>
      <c r="O14" s="538">
        <v>435.86</v>
      </c>
      <c r="P14" s="10">
        <v>241.2</v>
      </c>
      <c r="Q14" s="469">
        <v>287.62</v>
      </c>
      <c r="R14">
        <v>377.77</v>
      </c>
      <c r="S14" s="103"/>
      <c r="T14" s="58"/>
      <c r="U14" s="51"/>
    </row>
    <row r="15" spans="1:21" ht="19.5" customHeight="1">
      <c r="A15" s="60"/>
      <c r="B15" s="99"/>
      <c r="C15" s="485" t="s">
        <v>68</v>
      </c>
      <c r="D15" s="10">
        <v>387.87</v>
      </c>
      <c r="E15" s="10">
        <v>414.5</v>
      </c>
      <c r="F15" s="538">
        <v>498.52</v>
      </c>
      <c r="G15" s="10">
        <v>242.44</v>
      </c>
      <c r="H15" s="10">
        <v>307.41</v>
      </c>
      <c r="I15" s="538">
        <v>409.99</v>
      </c>
      <c r="J15" s="10">
        <v>300.43</v>
      </c>
      <c r="K15" s="10">
        <v>320</v>
      </c>
      <c r="L15" s="538">
        <v>494.62</v>
      </c>
      <c r="M15" s="10">
        <v>243.91</v>
      </c>
      <c r="N15" s="10">
        <v>280</v>
      </c>
      <c r="O15" s="1137">
        <v>452</v>
      </c>
      <c r="P15" s="10">
        <v>239.48</v>
      </c>
      <c r="Q15" s="469">
        <v>297.39</v>
      </c>
      <c r="R15" s="1252">
        <v>399.81</v>
      </c>
      <c r="S15" s="103"/>
      <c r="T15" s="58"/>
      <c r="U15" s="51"/>
    </row>
    <row r="16" spans="1:21" ht="19.5" customHeight="1">
      <c r="A16" s="60"/>
      <c r="B16" s="99"/>
      <c r="C16" s="485" t="s">
        <v>69</v>
      </c>
      <c r="D16" s="10">
        <v>437.19</v>
      </c>
      <c r="E16" s="10">
        <v>455.5</v>
      </c>
      <c r="F16" s="538"/>
      <c r="G16" s="10">
        <v>248.42</v>
      </c>
      <c r="H16" s="10">
        <v>324.95</v>
      </c>
      <c r="I16" s="538"/>
      <c r="J16" s="10">
        <v>315.71</v>
      </c>
      <c r="K16" s="176">
        <v>335</v>
      </c>
      <c r="L16" s="538"/>
      <c r="M16" s="10">
        <v>272.86</v>
      </c>
      <c r="N16" s="176">
        <v>292</v>
      </c>
      <c r="O16" s="538"/>
      <c r="P16" s="10">
        <v>251.43</v>
      </c>
      <c r="Q16" s="176">
        <v>313.96</v>
      </c>
      <c r="S16" s="103"/>
      <c r="T16" s="57"/>
      <c r="U16" s="51"/>
    </row>
    <row r="17" spans="1:21" ht="19.5" customHeight="1">
      <c r="A17" s="60"/>
      <c r="B17" s="99"/>
      <c r="C17" s="485" t="s">
        <v>70</v>
      </c>
      <c r="D17" s="10">
        <v>433.48</v>
      </c>
      <c r="E17" s="796">
        <v>456.95</v>
      </c>
      <c r="F17" s="538"/>
      <c r="G17" s="10">
        <v>250.1</v>
      </c>
      <c r="H17" s="796">
        <v>340.62</v>
      </c>
      <c r="I17" s="538"/>
      <c r="J17" s="10">
        <v>324.32</v>
      </c>
      <c r="K17" s="797">
        <v>495.95</v>
      </c>
      <c r="L17" s="538"/>
      <c r="M17" s="10">
        <v>272.73</v>
      </c>
      <c r="N17" s="797">
        <v>432.14</v>
      </c>
      <c r="O17" s="538"/>
      <c r="P17" s="10">
        <v>255.45</v>
      </c>
      <c r="Q17" s="513">
        <v>332.05</v>
      </c>
      <c r="S17" s="103"/>
      <c r="T17" s="57"/>
      <c r="U17" s="51"/>
    </row>
    <row r="18" spans="1:21" ht="19.5" customHeight="1">
      <c r="A18" s="60"/>
      <c r="B18" s="99"/>
      <c r="C18" s="485" t="s">
        <v>71</v>
      </c>
      <c r="D18" s="10">
        <v>480.13</v>
      </c>
      <c r="E18" s="796">
        <v>478.11</v>
      </c>
      <c r="F18" s="538"/>
      <c r="G18" s="10">
        <v>264.25</v>
      </c>
      <c r="H18" s="796">
        <v>363.9</v>
      </c>
      <c r="I18" s="538"/>
      <c r="J18" s="10">
        <v>338.7</v>
      </c>
      <c r="K18" s="796">
        <v>502.86</v>
      </c>
      <c r="L18" s="538"/>
      <c r="M18" s="10">
        <v>284.35</v>
      </c>
      <c r="N18" s="796">
        <v>443.76</v>
      </c>
      <c r="O18" s="538"/>
      <c r="P18" s="10">
        <v>272.61</v>
      </c>
      <c r="Q18" s="221">
        <v>351.05</v>
      </c>
      <c r="S18" s="103"/>
      <c r="T18" s="57"/>
      <c r="U18" s="51"/>
    </row>
    <row r="19" spans="1:21" ht="19.5" customHeight="1">
      <c r="A19" s="60"/>
      <c r="B19" s="99"/>
      <c r="C19" s="485" t="s">
        <v>72</v>
      </c>
      <c r="D19" s="10">
        <v>460.96</v>
      </c>
      <c r="E19" s="796">
        <v>469.39</v>
      </c>
      <c r="F19" s="538"/>
      <c r="G19" s="10">
        <v>277.02</v>
      </c>
      <c r="H19" s="796">
        <v>375.28</v>
      </c>
      <c r="I19" s="538"/>
      <c r="J19" s="10">
        <v>345.5</v>
      </c>
      <c r="K19" s="796">
        <v>492.45</v>
      </c>
      <c r="L19" s="538"/>
      <c r="M19" s="10">
        <v>281.75</v>
      </c>
      <c r="N19" s="796">
        <v>438.25</v>
      </c>
      <c r="O19" s="538"/>
      <c r="P19" s="10">
        <v>280.75</v>
      </c>
      <c r="Q19" s="221">
        <v>362.29</v>
      </c>
      <c r="S19" s="103"/>
      <c r="T19" s="57"/>
      <c r="U19" s="51"/>
    </row>
    <row r="20" spans="1:21" ht="19.5" customHeight="1">
      <c r="A20" s="60"/>
      <c r="B20" s="99"/>
      <c r="C20" s="485" t="s">
        <v>73</v>
      </c>
      <c r="D20" s="176">
        <v>455.2</v>
      </c>
      <c r="E20" s="222">
        <v>479.32</v>
      </c>
      <c r="F20" s="538"/>
      <c r="G20" s="176">
        <v>275.25</v>
      </c>
      <c r="H20" s="222">
        <v>378.98</v>
      </c>
      <c r="I20" s="538"/>
      <c r="J20" s="176">
        <v>340.5</v>
      </c>
      <c r="K20" s="222">
        <v>477.75</v>
      </c>
      <c r="L20" s="538"/>
      <c r="M20" s="176">
        <v>290</v>
      </c>
      <c r="N20" s="222">
        <v>446.15</v>
      </c>
      <c r="O20" s="538"/>
      <c r="P20" s="176">
        <v>285</v>
      </c>
      <c r="Q20" s="222">
        <v>364.55</v>
      </c>
      <c r="S20" s="103"/>
      <c r="T20" s="57"/>
      <c r="U20" s="51"/>
    </row>
    <row r="21" spans="1:21" ht="19.5" customHeight="1">
      <c r="A21" s="60"/>
      <c r="B21" s="99"/>
      <c r="C21" s="486" t="s">
        <v>74</v>
      </c>
      <c r="D21" s="294">
        <f aca="true" t="shared" si="0" ref="D21:J21">AVERAGE(D9:D20)</f>
        <v>418.60833333333335</v>
      </c>
      <c r="E21" s="294">
        <f t="shared" si="0"/>
        <v>454.03666666666663</v>
      </c>
      <c r="F21" s="295">
        <f t="shared" si="0"/>
        <v>483.2528571428571</v>
      </c>
      <c r="G21" s="294">
        <f t="shared" si="0"/>
        <v>252.39666666666665</v>
      </c>
      <c r="H21" s="294">
        <f t="shared" si="0"/>
        <v>322.3075</v>
      </c>
      <c r="I21" s="295">
        <f t="shared" si="0"/>
        <v>387.7485714285714</v>
      </c>
      <c r="J21" s="294">
        <f t="shared" si="0"/>
        <v>316.6983333333333</v>
      </c>
      <c r="K21" s="294">
        <f>AVERAGE(K17:K20)</f>
        <v>492.2525</v>
      </c>
      <c r="L21" s="295">
        <f aca="true" t="shared" si="1" ref="L21:R21">AVERAGE(L9:L20)</f>
        <v>480.5442857142857</v>
      </c>
      <c r="M21" s="294">
        <f t="shared" si="1"/>
        <v>266.99333333333334</v>
      </c>
      <c r="N21" s="294">
        <f t="shared" si="1"/>
        <v>337.16666666666663</v>
      </c>
      <c r="O21" s="295">
        <f t="shared" si="1"/>
        <v>452.3014285714286</v>
      </c>
      <c r="P21" s="294">
        <f t="shared" si="1"/>
        <v>258.85083333333336</v>
      </c>
      <c r="Q21" s="294">
        <f t="shared" si="1"/>
        <v>312.03000000000003</v>
      </c>
      <c r="R21" s="294">
        <f t="shared" si="1"/>
        <v>373.84</v>
      </c>
      <c r="S21" s="103"/>
      <c r="T21" s="57"/>
      <c r="U21" s="51"/>
    </row>
    <row r="22" spans="1:21" ht="19.5" customHeight="1">
      <c r="A22" s="60"/>
      <c r="B22" s="117"/>
      <c r="C22" s="799" t="s">
        <v>443</v>
      </c>
      <c r="D22" s="296"/>
      <c r="E22" s="296"/>
      <c r="F22" s="296"/>
      <c r="G22" s="296"/>
      <c r="H22" s="296"/>
      <c r="I22" s="296"/>
      <c r="J22" s="297"/>
      <c r="K22" s="297"/>
      <c r="L22" s="296"/>
      <c r="M22" s="297"/>
      <c r="N22" s="297"/>
      <c r="O22" s="296"/>
      <c r="P22" s="297"/>
      <c r="Q22" s="297"/>
      <c r="R22" s="296"/>
      <c r="S22" s="129"/>
      <c r="T22" s="57"/>
      <c r="U22" s="51"/>
    </row>
    <row r="23" spans="1:21" ht="30.75" customHeight="1">
      <c r="A23" s="60"/>
      <c r="B23" s="177"/>
      <c r="C23" s="800" t="s">
        <v>340</v>
      </c>
      <c r="D23" s="298"/>
      <c r="E23" s="298"/>
      <c r="F23" s="298"/>
      <c r="G23" s="298"/>
      <c r="H23" s="298"/>
      <c r="I23" s="298"/>
      <c r="J23" s="299"/>
      <c r="K23" s="299"/>
      <c r="L23" s="298"/>
      <c r="M23" s="299"/>
      <c r="N23" s="299"/>
      <c r="O23" s="298"/>
      <c r="P23" s="299"/>
      <c r="Q23" s="299"/>
      <c r="R23" s="298"/>
      <c r="S23" s="178"/>
      <c r="T23" s="57"/>
      <c r="U23" s="51"/>
    </row>
    <row r="24" spans="1:21" ht="18" customHeight="1">
      <c r="A24" s="57"/>
      <c r="B24" s="132"/>
      <c r="C24" s="132"/>
      <c r="D24" s="132"/>
      <c r="E24" s="132"/>
      <c r="F24" s="132"/>
      <c r="G24" s="132"/>
      <c r="H24" s="132"/>
      <c r="I24" s="132"/>
      <c r="J24" s="132"/>
      <c r="K24" s="132"/>
      <c r="L24" s="132"/>
      <c r="M24" s="132"/>
      <c r="N24" s="132"/>
      <c r="O24" s="132"/>
      <c r="P24" s="132"/>
      <c r="Q24" s="132"/>
      <c r="R24" s="132"/>
      <c r="S24" s="132"/>
      <c r="T24" s="57"/>
      <c r="U24" s="51"/>
    </row>
    <row r="25" ht="15">
      <c r="U25" s="51"/>
    </row>
    <row r="26" spans="11:15" ht="12.75">
      <c r="K26" s="540"/>
      <c r="L26" s="540"/>
      <c r="M26" s="540"/>
      <c r="N26" s="540"/>
      <c r="O26" s="540"/>
    </row>
  </sheetData>
  <sheetProtection/>
  <mergeCells count="12">
    <mergeCell ref="A1:T1"/>
    <mergeCell ref="D6:F6"/>
    <mergeCell ref="D7:F7"/>
    <mergeCell ref="D8:F8"/>
    <mergeCell ref="G8:I8"/>
    <mergeCell ref="B2:S2"/>
    <mergeCell ref="G7:I7"/>
    <mergeCell ref="J8:L8"/>
    <mergeCell ref="M8:O8"/>
    <mergeCell ref="P8:R8"/>
    <mergeCell ref="C3:R3"/>
    <mergeCell ref="C5:C8"/>
  </mergeCells>
  <printOptions horizontalCentered="1" verticalCentered="1"/>
  <pageMargins left="0.5118110236220472" right="0.5118110236220472" top="0.7874015748031497" bottom="0.7874015748031497" header="0.31496062992125984" footer="0.31496062992125984"/>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dimension ref="A1:K31"/>
  <sheetViews>
    <sheetView zoomScalePageLayoutView="0" workbookViewId="0" topLeftCell="A1">
      <selection activeCell="L29" sqref="L29"/>
    </sheetView>
  </sheetViews>
  <sheetFormatPr defaultColWidth="9.140625" defaultRowHeight="12.75"/>
  <cols>
    <col min="1" max="1" width="3.28125" style="0" customWidth="1"/>
    <col min="2" max="2" width="5.7109375" style="0" customWidth="1"/>
    <col min="3" max="3" width="12.28125" style="0" customWidth="1"/>
    <col min="4" max="4" width="44.57421875" style="0" customWidth="1"/>
    <col min="5" max="5" width="14.7109375" style="0" customWidth="1"/>
    <col min="6" max="6" width="9.7109375" style="0" customWidth="1"/>
    <col min="7" max="7" width="14.7109375" style="0" customWidth="1"/>
    <col min="8" max="8" width="9.7109375" style="0" customWidth="1"/>
    <col min="9" max="9" width="13.421875" style="0" customWidth="1"/>
    <col min="10" max="10" width="5.7109375" style="0" customWidth="1"/>
    <col min="11" max="11" width="3.57421875" style="0" customWidth="1"/>
  </cols>
  <sheetData>
    <row r="1" spans="1:11" ht="15" customHeight="1">
      <c r="A1" s="1323" t="s">
        <v>415</v>
      </c>
      <c r="B1" s="1323"/>
      <c r="C1" s="1323"/>
      <c r="D1" s="1323"/>
      <c r="E1" s="1323"/>
      <c r="F1" s="1323"/>
      <c r="G1" s="1323"/>
      <c r="H1" s="1323"/>
      <c r="I1" s="1323"/>
      <c r="J1" s="1323"/>
      <c r="K1" s="1323"/>
    </row>
    <row r="2" spans="1:11" ht="18" customHeight="1">
      <c r="A2" s="58"/>
      <c r="B2" s="1387" t="s">
        <v>75</v>
      </c>
      <c r="C2" s="1388"/>
      <c r="D2" s="1388"/>
      <c r="E2" s="1388"/>
      <c r="F2" s="1388"/>
      <c r="G2" s="1388"/>
      <c r="H2" s="1388"/>
      <c r="I2" s="1388"/>
      <c r="J2" s="1389"/>
      <c r="K2" s="57"/>
    </row>
    <row r="3" spans="1:11" ht="18" customHeight="1">
      <c r="A3" s="58"/>
      <c r="B3" s="1390" t="s">
        <v>445</v>
      </c>
      <c r="C3" s="1391"/>
      <c r="D3" s="1391"/>
      <c r="E3" s="1391"/>
      <c r="F3" s="1391"/>
      <c r="G3" s="1391"/>
      <c r="H3" s="1391"/>
      <c r="I3" s="1391"/>
      <c r="J3" s="1392"/>
      <c r="K3" s="57"/>
    </row>
    <row r="4" spans="1:11" ht="18" customHeight="1">
      <c r="A4" s="58"/>
      <c r="B4" s="379"/>
      <c r="C4" s="1393" t="s">
        <v>76</v>
      </c>
      <c r="D4" s="1394"/>
      <c r="E4" s="1397" t="s">
        <v>444</v>
      </c>
      <c r="F4" s="1398"/>
      <c r="G4" s="1397" t="s">
        <v>203</v>
      </c>
      <c r="H4" s="1398"/>
      <c r="I4" s="1399" t="s">
        <v>77</v>
      </c>
      <c r="J4" s="130"/>
      <c r="K4" s="57"/>
    </row>
    <row r="5" spans="1:11" ht="18" customHeight="1">
      <c r="A5" s="58"/>
      <c r="B5" s="379"/>
      <c r="C5" s="1395"/>
      <c r="D5" s="1396"/>
      <c r="E5" s="12" t="s">
        <v>78</v>
      </c>
      <c r="F5" s="12" t="s">
        <v>79</v>
      </c>
      <c r="G5" s="12" t="s">
        <v>80</v>
      </c>
      <c r="H5" s="11" t="s">
        <v>79</v>
      </c>
      <c r="I5" s="1400"/>
      <c r="J5" s="130"/>
      <c r="K5" s="57"/>
    </row>
    <row r="6" spans="1:11" ht="15" customHeight="1">
      <c r="A6" s="58"/>
      <c r="B6" s="283"/>
      <c r="C6" s="1269" t="s">
        <v>19</v>
      </c>
      <c r="D6" s="1270"/>
      <c r="E6" s="1298">
        <v>27957062</v>
      </c>
      <c r="F6" s="1272">
        <f aca="true" t="shared" si="0" ref="F6:F29">E6/$E$29</f>
        <v>0.3168868403989032</v>
      </c>
      <c r="G6" s="1299">
        <v>31403497</v>
      </c>
      <c r="H6" s="1272">
        <f aca="true" t="shared" si="1" ref="H6:H29">G6/$G$29</f>
        <v>0.32459105745168726</v>
      </c>
      <c r="I6" s="1274">
        <f>(E6/G6-1)*100</f>
        <v>-10.974685398890449</v>
      </c>
      <c r="J6" s="130"/>
      <c r="K6" s="57"/>
    </row>
    <row r="7" spans="1:11" ht="15" customHeight="1">
      <c r="A7" s="58"/>
      <c r="B7" s="283"/>
      <c r="C7" s="1269" t="s">
        <v>81</v>
      </c>
      <c r="D7" s="1275"/>
      <c r="E7" s="1268">
        <v>14724197</v>
      </c>
      <c r="F7" s="1276">
        <f t="shared" si="0"/>
        <v>0.16689537207954858</v>
      </c>
      <c r="G7" s="1300">
        <v>17429297</v>
      </c>
      <c r="H7" s="1276">
        <f t="shared" si="1"/>
        <v>0.1801517182583048</v>
      </c>
      <c r="I7" s="1274">
        <f aca="true" t="shared" si="2" ref="I7:I28">(E7/G7-1)*100</f>
        <v>-15.520419440898847</v>
      </c>
      <c r="J7" s="130"/>
      <c r="K7" s="57"/>
    </row>
    <row r="8" spans="1:11" ht="15" customHeight="1">
      <c r="A8" s="58"/>
      <c r="B8" s="283"/>
      <c r="C8" s="1269" t="s">
        <v>82</v>
      </c>
      <c r="D8" s="1275"/>
      <c r="E8" s="1268">
        <v>8532375</v>
      </c>
      <c r="F8" s="1276">
        <f t="shared" si="0"/>
        <v>0.09671249986313267</v>
      </c>
      <c r="G8" s="1300">
        <v>10366872</v>
      </c>
      <c r="H8" s="1276">
        <f t="shared" si="1"/>
        <v>0.10715347863794557</v>
      </c>
      <c r="I8" s="1274">
        <f t="shared" si="2"/>
        <v>-17.695762038925533</v>
      </c>
      <c r="J8" s="130"/>
      <c r="K8" s="57"/>
    </row>
    <row r="9" spans="1:11" ht="15" customHeight="1">
      <c r="A9" s="58"/>
      <c r="B9" s="283"/>
      <c r="C9" s="1278" t="s">
        <v>83</v>
      </c>
      <c r="D9" s="1279"/>
      <c r="E9" s="1301">
        <v>10333743</v>
      </c>
      <c r="F9" s="1281">
        <f t="shared" si="0"/>
        <v>0.11713059007288687</v>
      </c>
      <c r="G9" s="1302">
        <v>9950706</v>
      </c>
      <c r="H9" s="1281">
        <f t="shared" si="1"/>
        <v>0.10285192706184439</v>
      </c>
      <c r="I9" s="1283">
        <f t="shared" si="2"/>
        <v>3.8493449610510044</v>
      </c>
      <c r="J9" s="130"/>
      <c r="K9" s="57"/>
    </row>
    <row r="10" spans="1:11" ht="15" customHeight="1">
      <c r="A10" s="58"/>
      <c r="B10" s="283"/>
      <c r="C10" s="1284" t="s">
        <v>84</v>
      </c>
      <c r="D10" s="1285"/>
      <c r="E10" s="1291">
        <f>E11+E12+E13+E14+E15</f>
        <v>6158740</v>
      </c>
      <c r="F10" s="1287">
        <f t="shared" si="0"/>
        <v>0.0698078953875175</v>
      </c>
      <c r="G10" s="1291">
        <v>6661872</v>
      </c>
      <c r="H10" s="1287">
        <f t="shared" si="1"/>
        <v>0.06885806625573536</v>
      </c>
      <c r="I10" s="1274">
        <f t="shared" si="2"/>
        <v>-7.552411694490679</v>
      </c>
      <c r="J10" s="130"/>
      <c r="K10" s="57"/>
    </row>
    <row r="11" spans="1:11" ht="15" customHeight="1">
      <c r="A11" s="58"/>
      <c r="B11" s="283"/>
      <c r="C11" s="1284"/>
      <c r="D11" s="1285" t="s">
        <v>85</v>
      </c>
      <c r="E11" s="1291">
        <v>5555415</v>
      </c>
      <c r="F11" s="1287">
        <f t="shared" si="0"/>
        <v>0.06296934586526555</v>
      </c>
      <c r="G11" s="1303">
        <v>6041101</v>
      </c>
      <c r="H11" s="1287">
        <f t="shared" si="1"/>
        <v>0.0624416879993475</v>
      </c>
      <c r="I11" s="1274">
        <f t="shared" si="2"/>
        <v>-8.039693426744565</v>
      </c>
      <c r="J11" s="130"/>
      <c r="K11" s="57"/>
    </row>
    <row r="12" spans="1:11" ht="15" customHeight="1">
      <c r="A12" s="58"/>
      <c r="B12" s="283"/>
      <c r="C12" s="1284"/>
      <c r="D12" s="1285" t="s">
        <v>86</v>
      </c>
      <c r="E12" s="1291">
        <v>556404</v>
      </c>
      <c r="F12" s="1287">
        <f t="shared" si="0"/>
        <v>0.006306710824810966</v>
      </c>
      <c r="G12" s="1303">
        <v>563324</v>
      </c>
      <c r="H12" s="1287">
        <f t="shared" si="1"/>
        <v>0.005822597809661588</v>
      </c>
      <c r="I12" s="1274">
        <f t="shared" si="2"/>
        <v>-1.228422719429667</v>
      </c>
      <c r="J12" s="130"/>
      <c r="K12" s="57"/>
    </row>
    <row r="13" spans="1:11" ht="15" customHeight="1">
      <c r="A13" s="58"/>
      <c r="B13" s="283"/>
      <c r="C13" s="1284"/>
      <c r="D13" s="1285" t="s">
        <v>87</v>
      </c>
      <c r="E13" s="1291">
        <v>10079</v>
      </c>
      <c r="F13" s="1287">
        <f t="shared" si="0"/>
        <v>0.00011424313700704835</v>
      </c>
      <c r="G13" s="1303">
        <v>11603</v>
      </c>
      <c r="H13" s="1287">
        <f t="shared" si="1"/>
        <v>0.0001199302752687679</v>
      </c>
      <c r="I13" s="1274">
        <f t="shared" si="2"/>
        <v>-13.134534172196844</v>
      </c>
      <c r="J13" s="130"/>
      <c r="K13" s="57"/>
    </row>
    <row r="14" spans="1:11" ht="15" customHeight="1">
      <c r="A14" s="58"/>
      <c r="B14" s="283"/>
      <c r="C14" s="1284"/>
      <c r="D14" s="1285" t="s">
        <v>88</v>
      </c>
      <c r="E14" s="1291">
        <v>36754</v>
      </c>
      <c r="F14" s="1287">
        <f t="shared" si="0"/>
        <v>0.0004165981007597038</v>
      </c>
      <c r="G14" s="1303">
        <v>45830</v>
      </c>
      <c r="H14" s="1287">
        <f t="shared" si="1"/>
        <v>0.00047370546544580136</v>
      </c>
      <c r="I14" s="1274">
        <f t="shared" si="2"/>
        <v>-19.80362208160593</v>
      </c>
      <c r="J14" s="130"/>
      <c r="K14" s="57"/>
    </row>
    <row r="15" spans="1:11" ht="15" customHeight="1">
      <c r="A15" s="58"/>
      <c r="B15" s="283"/>
      <c r="C15" s="1292"/>
      <c r="D15" s="1304" t="s">
        <v>89</v>
      </c>
      <c r="E15" s="1305">
        <v>88</v>
      </c>
      <c r="F15" s="1306">
        <f t="shared" si="0"/>
        <v>9.974596742355645E-07</v>
      </c>
      <c r="G15" s="1307">
        <v>15</v>
      </c>
      <c r="H15" s="1306">
        <f t="shared" si="1"/>
        <v>1.5504215539356361E-07</v>
      </c>
      <c r="I15" s="1283">
        <f t="shared" si="2"/>
        <v>486.66666666666663</v>
      </c>
      <c r="J15" s="130"/>
      <c r="K15" s="57"/>
    </row>
    <row r="16" spans="1:11" ht="15" customHeight="1">
      <c r="A16" s="58"/>
      <c r="B16" s="283"/>
      <c r="C16" s="1269" t="s">
        <v>90</v>
      </c>
      <c r="D16" s="1275"/>
      <c r="E16" s="1268">
        <v>5878405</v>
      </c>
      <c r="F16" s="1276">
        <f t="shared" si="0"/>
        <v>0.06663036291278084</v>
      </c>
      <c r="G16" s="1300">
        <v>4641435</v>
      </c>
      <c r="H16" s="1276">
        <f t="shared" si="1"/>
        <v>0.04797453910127499</v>
      </c>
      <c r="I16" s="1274">
        <f t="shared" si="2"/>
        <v>26.65059405119321</v>
      </c>
      <c r="J16" s="130"/>
      <c r="K16" s="57"/>
    </row>
    <row r="17" spans="1:11" ht="15" customHeight="1">
      <c r="A17" s="58"/>
      <c r="B17" s="283"/>
      <c r="C17" s="1269" t="s">
        <v>91</v>
      </c>
      <c r="D17" s="1275"/>
      <c r="E17" s="1268">
        <v>2713224</v>
      </c>
      <c r="F17" s="1276">
        <f t="shared" si="0"/>
        <v>0.03075376735418313</v>
      </c>
      <c r="G17" s="1300">
        <v>3449009</v>
      </c>
      <c r="H17" s="1276">
        <f t="shared" si="1"/>
        <v>0.035649452622119965</v>
      </c>
      <c r="I17" s="1274">
        <f t="shared" si="2"/>
        <v>-21.333229342109572</v>
      </c>
      <c r="J17" s="130"/>
      <c r="K17" s="57"/>
    </row>
    <row r="18" spans="1:11" ht="15" customHeight="1">
      <c r="A18" s="58"/>
      <c r="B18" s="283"/>
      <c r="C18" s="1269" t="s">
        <v>92</v>
      </c>
      <c r="D18" s="1275"/>
      <c r="E18" s="1268">
        <v>2186217</v>
      </c>
      <c r="F18" s="1276">
        <f t="shared" si="0"/>
        <v>0.024780264734411965</v>
      </c>
      <c r="G18" s="1300">
        <v>2501868</v>
      </c>
      <c r="H18" s="1276">
        <f t="shared" si="1"/>
        <v>0.025859667148678947</v>
      </c>
      <c r="I18" s="1274">
        <f t="shared" si="2"/>
        <v>-12.616612866865873</v>
      </c>
      <c r="J18" s="130"/>
      <c r="K18" s="57"/>
    </row>
    <row r="19" spans="1:11" ht="15" customHeight="1">
      <c r="A19" s="58"/>
      <c r="B19" s="283"/>
      <c r="C19" s="1269" t="s">
        <v>93</v>
      </c>
      <c r="D19" s="1275"/>
      <c r="E19" s="1268">
        <v>2050442</v>
      </c>
      <c r="F19" s="1276">
        <f t="shared" si="0"/>
        <v>0.02324128646998772</v>
      </c>
      <c r="G19" s="1300">
        <v>2168269</v>
      </c>
      <c r="H19" s="1276">
        <f t="shared" si="1"/>
        <v>0.022411539948869786</v>
      </c>
      <c r="I19" s="1274">
        <f t="shared" si="2"/>
        <v>-5.434150467492738</v>
      </c>
      <c r="J19" s="130"/>
      <c r="K19" s="57"/>
    </row>
    <row r="20" spans="1:11" ht="15" customHeight="1">
      <c r="A20" s="58"/>
      <c r="B20" s="283"/>
      <c r="C20" s="1269" t="s">
        <v>94</v>
      </c>
      <c r="D20" s="1275"/>
      <c r="E20" s="1268">
        <v>1776262</v>
      </c>
      <c r="F20" s="1276">
        <f t="shared" si="0"/>
        <v>0.020133519498602412</v>
      </c>
      <c r="G20" s="1300">
        <v>1841766</v>
      </c>
      <c r="H20" s="1276">
        <f t="shared" si="1"/>
        <v>0.01903675802470547</v>
      </c>
      <c r="I20" s="1274">
        <f t="shared" si="2"/>
        <v>-3.5565864501788003</v>
      </c>
      <c r="J20" s="130"/>
      <c r="K20" s="57"/>
    </row>
    <row r="21" spans="1:11" ht="15" customHeight="1">
      <c r="A21" s="58"/>
      <c r="B21" s="283"/>
      <c r="C21" s="1269" t="s">
        <v>95</v>
      </c>
      <c r="D21" s="1275"/>
      <c r="E21" s="1268">
        <v>888817</v>
      </c>
      <c r="F21" s="1276">
        <f t="shared" si="0"/>
        <v>0.010074535400852633</v>
      </c>
      <c r="G21" s="1300">
        <v>841296</v>
      </c>
      <c r="H21" s="1276">
        <f t="shared" si="1"/>
        <v>0.008695756344265566</v>
      </c>
      <c r="I21" s="1274">
        <f t="shared" si="2"/>
        <v>5.648547003670523</v>
      </c>
      <c r="J21" s="130"/>
      <c r="K21" s="57"/>
    </row>
    <row r="22" spans="1:11" ht="15" customHeight="1">
      <c r="A22" s="58"/>
      <c r="B22" s="380"/>
      <c r="C22" s="1269" t="s">
        <v>96</v>
      </c>
      <c r="D22" s="1275"/>
      <c r="E22" s="1268">
        <v>278158</v>
      </c>
      <c r="F22" s="1276">
        <f t="shared" si="0"/>
        <v>0.0031528566825683654</v>
      </c>
      <c r="G22" s="1300">
        <v>742199</v>
      </c>
      <c r="H22" s="1276">
        <f t="shared" si="1"/>
        <v>0.007671475512729834</v>
      </c>
      <c r="I22" s="1274">
        <f t="shared" si="2"/>
        <v>-62.52245017845619</v>
      </c>
      <c r="J22" s="130"/>
      <c r="K22" s="57"/>
    </row>
    <row r="23" spans="1:11" ht="15" customHeight="1">
      <c r="A23" s="58"/>
      <c r="B23" s="380"/>
      <c r="C23" s="1269" t="s">
        <v>97</v>
      </c>
      <c r="D23" s="1275"/>
      <c r="E23" s="1267">
        <v>480905</v>
      </c>
      <c r="F23" s="1276">
        <f>E24/$E$29</f>
        <v>0.004808447050725971</v>
      </c>
      <c r="G23" s="1300">
        <v>485415</v>
      </c>
      <c r="H23" s="1276">
        <f t="shared" si="1"/>
        <v>0.0050173191906911115</v>
      </c>
      <c r="I23" s="1274">
        <f t="shared" si="2"/>
        <v>-0.9291019024957992</v>
      </c>
      <c r="J23" s="130"/>
      <c r="K23" s="57"/>
    </row>
    <row r="24" spans="1:11" ht="15" customHeight="1">
      <c r="A24" s="58"/>
      <c r="B24" s="138"/>
      <c r="C24" s="1269" t="s">
        <v>98</v>
      </c>
      <c r="D24" s="1275"/>
      <c r="E24" s="1268">
        <v>424221</v>
      </c>
      <c r="F24" s="1276">
        <f>E25/$E$29</f>
        <v>0.0036178995861426465</v>
      </c>
      <c r="G24" s="1300">
        <v>428043</v>
      </c>
      <c r="H24" s="1276">
        <f t="shared" si="1"/>
        <v>0.00442431395474181</v>
      </c>
      <c r="I24" s="1274">
        <f t="shared" si="2"/>
        <v>-0.892900946867492</v>
      </c>
      <c r="J24" s="130"/>
      <c r="K24" s="57"/>
    </row>
    <row r="25" spans="1:11" ht="15" customHeight="1">
      <c r="A25" s="57"/>
      <c r="B25" s="172"/>
      <c r="C25" s="1269" t="s">
        <v>99</v>
      </c>
      <c r="D25" s="1275"/>
      <c r="E25" s="1268">
        <v>319186</v>
      </c>
      <c r="F25" s="1276">
        <f t="shared" si="0"/>
        <v>0.0036178995861426465</v>
      </c>
      <c r="G25" s="1300">
        <v>345407</v>
      </c>
      <c r="H25" s="1276">
        <f t="shared" si="1"/>
        <v>0.003570176384534975</v>
      </c>
      <c r="I25" s="1274">
        <f t="shared" si="2"/>
        <v>-7.591334281007622</v>
      </c>
      <c r="J25" s="130"/>
      <c r="K25" s="57"/>
    </row>
    <row r="26" spans="1:11" ht="15" customHeight="1">
      <c r="A26" s="57"/>
      <c r="B26" s="172"/>
      <c r="C26" s="1269" t="s">
        <v>100</v>
      </c>
      <c r="D26" s="1275"/>
      <c r="E26" s="1268">
        <v>374780</v>
      </c>
      <c r="F26" s="1276">
        <f t="shared" si="0"/>
        <v>0.004248044735340965</v>
      </c>
      <c r="G26" s="1300">
        <v>337424</v>
      </c>
      <c r="H26" s="1276">
        <f t="shared" si="1"/>
        <v>0.0034876629494345205</v>
      </c>
      <c r="I26" s="1274">
        <f t="shared" si="2"/>
        <v>11.070937455545549</v>
      </c>
      <c r="J26" s="130"/>
      <c r="K26" s="57"/>
    </row>
    <row r="27" spans="1:11" ht="15" customHeight="1">
      <c r="A27" s="57"/>
      <c r="B27" s="172"/>
      <c r="C27" s="1269" t="s">
        <v>101</v>
      </c>
      <c r="D27" s="1275"/>
      <c r="E27" s="1268">
        <v>220162</v>
      </c>
      <c r="F27" s="1276">
        <f t="shared" si="0"/>
        <v>0.002495485418171027</v>
      </c>
      <c r="G27" s="1300">
        <v>207219</v>
      </c>
      <c r="H27" s="1276">
        <f t="shared" si="1"/>
        <v>0.002141845359899924</v>
      </c>
      <c r="I27" s="1274">
        <f t="shared" si="2"/>
        <v>6.246048866175391</v>
      </c>
      <c r="J27" s="130"/>
      <c r="K27" s="57"/>
    </row>
    <row r="28" spans="1:11" ht="15" customHeight="1">
      <c r="A28" s="57"/>
      <c r="B28" s="172"/>
      <c r="C28" s="1269" t="s">
        <v>102</v>
      </c>
      <c r="D28" s="1279"/>
      <c r="E28" s="1296">
        <f>E29-SUM(E6:E10,E16:E27)</f>
        <v>2927222</v>
      </c>
      <c r="F28" s="1281">
        <f t="shared" si="0"/>
        <v>0.033179385256081564</v>
      </c>
      <c r="G28" s="1296">
        <f>G29-SUM(G6:G10,G16:G27)</f>
        <v>2946287</v>
      </c>
      <c r="H28" s="1276">
        <f t="shared" si="1"/>
        <v>0.030453245792535756</v>
      </c>
      <c r="I28" s="1274">
        <f t="shared" si="2"/>
        <v>-0.647085636938971</v>
      </c>
      <c r="J28" s="130"/>
      <c r="K28" s="57"/>
    </row>
    <row r="29" spans="1:11" ht="15" customHeight="1">
      <c r="A29" s="57"/>
      <c r="B29" s="172"/>
      <c r="C29" s="13" t="s">
        <v>103</v>
      </c>
      <c r="D29" s="14"/>
      <c r="E29" s="1141">
        <v>88224118</v>
      </c>
      <c r="F29" s="808">
        <f t="shared" si="0"/>
        <v>1</v>
      </c>
      <c r="G29" s="1141">
        <v>96747881</v>
      </c>
      <c r="H29" s="809">
        <f t="shared" si="1"/>
        <v>1</v>
      </c>
      <c r="I29" s="810">
        <f>(E29/G29-1)*100</f>
        <v>-8.810283917226048</v>
      </c>
      <c r="J29" s="130"/>
      <c r="K29" s="57"/>
    </row>
    <row r="30" spans="1:11" ht="15" customHeight="1">
      <c r="A30" s="57"/>
      <c r="B30" s="111"/>
      <c r="C30" s="1386" t="s">
        <v>104</v>
      </c>
      <c r="D30" s="1386"/>
      <c r="E30" s="1386"/>
      <c r="F30" s="1386"/>
      <c r="G30" s="173"/>
      <c r="H30" s="173"/>
      <c r="I30" s="173"/>
      <c r="J30" s="131"/>
      <c r="K30" s="57"/>
    </row>
    <row r="31" spans="1:11" ht="15" customHeight="1">
      <c r="A31" s="57"/>
      <c r="B31" s="57"/>
      <c r="C31" s="57"/>
      <c r="D31" s="57"/>
      <c r="E31" s="57"/>
      <c r="F31" s="57"/>
      <c r="G31" s="57"/>
      <c r="H31" s="57"/>
      <c r="I31" s="57"/>
      <c r="J31" s="57"/>
      <c r="K31" s="57"/>
    </row>
  </sheetData>
  <sheetProtection/>
  <mergeCells count="8">
    <mergeCell ref="A1:K1"/>
    <mergeCell ref="C30:F30"/>
    <mergeCell ref="B2:J2"/>
    <mergeCell ref="B3:J3"/>
    <mergeCell ref="C4:D5"/>
    <mergeCell ref="E4:F4"/>
    <mergeCell ref="G4:H4"/>
    <mergeCell ref="I4:I5"/>
  </mergeCells>
  <conditionalFormatting sqref="I6:I29">
    <cfRule type="cellIs" priority="7" dxfId="0" operator="lessThan" stopIfTrue="1">
      <formula>0</formula>
    </cfRule>
  </conditionalFormatting>
  <hyperlinks>
    <hyperlink ref="D30:F30" r:id="rId1" display="Fonte: AgroStat Brasil a partir de dados da SECEX/MDIC"/>
  </hyperlinks>
  <printOptions horizontalCentered="1" verticalCentered="1"/>
  <pageMargins left="0.5118110236220472" right="0.5118110236220472" top="0.7874015748031497" bottom="0.7874015748031497" header="0.31496062992125984" footer="0.31496062992125984"/>
  <pageSetup horizontalDpi="600" verticalDpi="600" orientation="landscape" paperSize="9" r:id="rId2"/>
</worksheet>
</file>

<file path=xl/worksheets/sheet14.xml><?xml version="1.0" encoding="utf-8"?>
<worksheet xmlns="http://schemas.openxmlformats.org/spreadsheetml/2006/main" xmlns:r="http://schemas.openxmlformats.org/officeDocument/2006/relationships">
  <dimension ref="A1:K32"/>
  <sheetViews>
    <sheetView zoomScalePageLayoutView="0" workbookViewId="0" topLeftCell="A1">
      <selection activeCell="L29" sqref="L29"/>
    </sheetView>
  </sheetViews>
  <sheetFormatPr defaultColWidth="9.140625" defaultRowHeight="12.75"/>
  <cols>
    <col min="1" max="1" width="2.7109375" style="0" customWidth="1"/>
    <col min="2" max="2" width="5.7109375" style="0" customWidth="1"/>
    <col min="3" max="3" width="10.57421875" style="0" customWidth="1"/>
    <col min="4" max="4" width="44.57421875" style="0" customWidth="1"/>
    <col min="5" max="5" width="14.7109375" style="0" customWidth="1"/>
    <col min="6" max="6" width="9.7109375" style="0" customWidth="1"/>
    <col min="7" max="7" width="14.7109375" style="0" customWidth="1"/>
    <col min="8" max="8" width="11.421875" style="0" customWidth="1"/>
    <col min="9" max="9" width="12.8515625" style="0" customWidth="1"/>
    <col min="10" max="10" width="5.7109375" style="0" customWidth="1"/>
    <col min="11" max="11" width="2.7109375" style="0" customWidth="1"/>
  </cols>
  <sheetData>
    <row r="1" spans="1:11" ht="15" customHeight="1">
      <c r="A1" s="1323" t="s">
        <v>416</v>
      </c>
      <c r="B1" s="1323"/>
      <c r="C1" s="1323"/>
      <c r="D1" s="1323"/>
      <c r="E1" s="1323"/>
      <c r="F1" s="1323"/>
      <c r="G1" s="1323"/>
      <c r="H1" s="1323"/>
      <c r="I1" s="1323"/>
      <c r="J1" s="1323"/>
      <c r="K1" s="1323"/>
    </row>
    <row r="2" spans="1:11" ht="18" customHeight="1">
      <c r="A2" s="58"/>
      <c r="B2" s="1387"/>
      <c r="C2" s="1388"/>
      <c r="D2" s="1388"/>
      <c r="E2" s="1388"/>
      <c r="F2" s="1388"/>
      <c r="G2" s="1388"/>
      <c r="H2" s="1388"/>
      <c r="I2" s="1388"/>
      <c r="J2" s="1389"/>
      <c r="K2" s="57"/>
    </row>
    <row r="3" spans="1:11" ht="18" customHeight="1">
      <c r="A3" s="58"/>
      <c r="B3" s="1390" t="s">
        <v>75</v>
      </c>
      <c r="C3" s="1391"/>
      <c r="D3" s="1391"/>
      <c r="E3" s="1391"/>
      <c r="F3" s="1391"/>
      <c r="G3" s="1391"/>
      <c r="H3" s="1391"/>
      <c r="I3" s="1391"/>
      <c r="J3" s="1392"/>
      <c r="K3" s="57"/>
    </row>
    <row r="4" spans="1:11" ht="18" customHeight="1">
      <c r="A4" s="58"/>
      <c r="B4" s="1390" t="s">
        <v>446</v>
      </c>
      <c r="C4" s="1391"/>
      <c r="D4" s="1391"/>
      <c r="E4" s="1391"/>
      <c r="F4" s="1391"/>
      <c r="G4" s="1391"/>
      <c r="H4" s="1391"/>
      <c r="I4" s="1391"/>
      <c r="J4" s="1392"/>
      <c r="K4" s="57"/>
    </row>
    <row r="5" spans="1:11" ht="13.5" customHeight="1">
      <c r="A5" s="58"/>
      <c r="B5" s="379"/>
      <c r="C5" s="1393" t="s">
        <v>76</v>
      </c>
      <c r="D5" s="1394"/>
      <c r="E5" s="1397" t="s">
        <v>604</v>
      </c>
      <c r="F5" s="1398"/>
      <c r="G5" s="1397" t="s">
        <v>605</v>
      </c>
      <c r="H5" s="1398"/>
      <c r="I5" s="1399" t="s">
        <v>77</v>
      </c>
      <c r="J5" s="130"/>
      <c r="K5" s="57"/>
    </row>
    <row r="6" spans="1:11" ht="13.5" customHeight="1">
      <c r="A6" s="58"/>
      <c r="B6" s="379"/>
      <c r="C6" s="1395"/>
      <c r="D6" s="1396"/>
      <c r="E6" s="12" t="s">
        <v>78</v>
      </c>
      <c r="F6" s="11" t="s">
        <v>79</v>
      </c>
      <c r="G6" s="12" t="s">
        <v>80</v>
      </c>
      <c r="H6" s="12" t="s">
        <v>79</v>
      </c>
      <c r="I6" s="1400"/>
      <c r="J6" s="130"/>
      <c r="K6" s="57"/>
    </row>
    <row r="7" spans="1:11" ht="15" customHeight="1">
      <c r="A7" s="58"/>
      <c r="B7" s="283"/>
      <c r="C7" s="1269" t="s">
        <v>19</v>
      </c>
      <c r="D7" s="1270"/>
      <c r="E7" s="1271">
        <v>20270778.014</v>
      </c>
      <c r="F7" s="1272">
        <f>E7/$E$30</f>
        <v>0.38379081843422425</v>
      </c>
      <c r="G7" s="1263">
        <v>19905275.385</v>
      </c>
      <c r="H7" s="1273">
        <f aca="true" t="shared" si="0" ref="H7:H30">G7/$G$30</f>
        <v>0.3800989968907885</v>
      </c>
      <c r="I7" s="1274">
        <f>(E7/G7-1)*100</f>
        <v>1.8362098585957165</v>
      </c>
      <c r="J7" s="130"/>
      <c r="K7" s="57"/>
    </row>
    <row r="8" spans="1:11" ht="15" customHeight="1">
      <c r="A8" s="58"/>
      <c r="B8" s="283"/>
      <c r="C8" s="1269" t="s">
        <v>81</v>
      </c>
      <c r="D8" s="1275"/>
      <c r="E8" s="1264">
        <v>8157748.46</v>
      </c>
      <c r="F8" s="1276">
        <f>E8/$E$30</f>
        <v>0.15445233310145273</v>
      </c>
      <c r="G8" s="1263">
        <v>8402146.007</v>
      </c>
      <c r="H8" s="1277">
        <f t="shared" si="0"/>
        <v>0.16044225499122095</v>
      </c>
      <c r="I8" s="1274">
        <f aca="true" t="shared" si="1" ref="I8:I30">(E8/G8-1)*100</f>
        <v>-2.9087514879696963</v>
      </c>
      <c r="J8" s="130"/>
      <c r="K8" s="57"/>
    </row>
    <row r="9" spans="1:11" ht="15" customHeight="1">
      <c r="A9" s="58"/>
      <c r="B9" s="283"/>
      <c r="C9" s="1269" t="s">
        <v>82</v>
      </c>
      <c r="D9" s="1275"/>
      <c r="E9" s="1264">
        <v>5623964.046</v>
      </c>
      <c r="F9" s="1276">
        <f aca="true" t="shared" si="2" ref="F9:F30">E9/$E$30</f>
        <v>0.10647967051724783</v>
      </c>
      <c r="G9" s="1263">
        <v>4677500.282</v>
      </c>
      <c r="H9" s="1277">
        <f t="shared" si="0"/>
        <v>0.08931869219374682</v>
      </c>
      <c r="I9" s="1274">
        <f t="shared" si="1"/>
        <v>20.23439245192975</v>
      </c>
      <c r="J9" s="130"/>
      <c r="K9" s="57"/>
    </row>
    <row r="10" spans="1:11" ht="15" customHeight="1">
      <c r="A10" s="58"/>
      <c r="B10" s="283"/>
      <c r="C10" s="1278" t="s">
        <v>83</v>
      </c>
      <c r="D10" s="1279"/>
      <c r="E10" s="1280">
        <v>5854993.842</v>
      </c>
      <c r="F10" s="1281">
        <f t="shared" si="2"/>
        <v>0.11085380526571649</v>
      </c>
      <c r="G10" s="1280">
        <v>5930330.876</v>
      </c>
      <c r="H10" s="1282">
        <f t="shared" si="0"/>
        <v>0.11324198101256619</v>
      </c>
      <c r="I10" s="1283">
        <f t="shared" si="1"/>
        <v>-1.2703681392363553</v>
      </c>
      <c r="J10" s="130"/>
      <c r="K10" s="57"/>
    </row>
    <row r="11" spans="1:11" ht="15" customHeight="1">
      <c r="A11" s="58"/>
      <c r="B11" s="283"/>
      <c r="C11" s="1284" t="s">
        <v>84</v>
      </c>
      <c r="D11" s="1285"/>
      <c r="E11" s="1286">
        <f>SUM(E12+E13+E14+E15+E16)</f>
        <v>2715754.1929999995</v>
      </c>
      <c r="F11" s="1287">
        <f t="shared" si="2"/>
        <v>0.051417933918362434</v>
      </c>
      <c r="G11" s="1286">
        <f>SUM(G12+G13+G14+G15+G16)</f>
        <v>3624051.142</v>
      </c>
      <c r="H11" s="1288">
        <f t="shared" si="0"/>
        <v>0.06920267000139856</v>
      </c>
      <c r="I11" s="1289">
        <f t="shared" si="1"/>
        <v>-25.063027904698387</v>
      </c>
      <c r="J11" s="130"/>
      <c r="K11" s="57"/>
    </row>
    <row r="12" spans="1:11" ht="15" customHeight="1">
      <c r="A12" s="58"/>
      <c r="B12" s="283"/>
      <c r="C12" s="1284"/>
      <c r="D12" s="1290" t="s">
        <v>85</v>
      </c>
      <c r="E12" s="1286">
        <f>'12.Exportações'!D13</f>
        <v>2381174.675</v>
      </c>
      <c r="F12" s="1276">
        <f t="shared" si="2"/>
        <v>0.04508327093917817</v>
      </c>
      <c r="G12" s="1291">
        <f>'12.Exportações'!G13</f>
        <v>3261469</v>
      </c>
      <c r="H12" s="1277">
        <f t="shared" si="0"/>
        <v>0.06227902258637368</v>
      </c>
      <c r="I12" s="1274">
        <f t="shared" si="1"/>
        <v>-26.99073101721955</v>
      </c>
      <c r="J12" s="130"/>
      <c r="K12" s="57"/>
    </row>
    <row r="13" spans="1:11" ht="15" customHeight="1">
      <c r="A13" s="58"/>
      <c r="B13" s="283"/>
      <c r="C13" s="1284"/>
      <c r="D13" s="1290" t="s">
        <v>86</v>
      </c>
      <c r="E13" s="1286">
        <f>'12.Exportações'!D14</f>
        <v>303747.419</v>
      </c>
      <c r="F13" s="1276">
        <f t="shared" si="2"/>
        <v>0.0057509124935796975</v>
      </c>
      <c r="G13" s="1291">
        <f>'12.Exportações'!G14</f>
        <v>330630</v>
      </c>
      <c r="H13" s="1277">
        <f t="shared" si="0"/>
        <v>0.00631350880162673</v>
      </c>
      <c r="I13" s="1274">
        <f t="shared" si="1"/>
        <v>-8.130714393733173</v>
      </c>
      <c r="J13" s="130"/>
      <c r="K13" s="57"/>
    </row>
    <row r="14" spans="1:11" ht="15" customHeight="1">
      <c r="A14" s="58"/>
      <c r="B14" s="283"/>
      <c r="C14" s="1284"/>
      <c r="D14" s="1290" t="s">
        <v>87</v>
      </c>
      <c r="E14" s="1286">
        <f>'12.Exportações'!D15</f>
        <v>5798.23</v>
      </c>
      <c r="F14" s="1276">
        <f t="shared" si="2"/>
        <v>0.00010977908374473663</v>
      </c>
      <c r="G14" s="1291">
        <f>'12.Exportações'!G15</f>
        <v>6145</v>
      </c>
      <c r="H14" s="1277">
        <f t="shared" si="0"/>
        <v>0.0001173411716601526</v>
      </c>
      <c r="I14" s="1274">
        <f t="shared" si="1"/>
        <v>-5.643124491456475</v>
      </c>
      <c r="J14" s="130"/>
      <c r="K14" s="57"/>
    </row>
    <row r="15" spans="1:11" ht="15" customHeight="1">
      <c r="A15" s="58"/>
      <c r="B15" s="283"/>
      <c r="C15" s="1284"/>
      <c r="D15" s="1290" t="s">
        <v>88</v>
      </c>
      <c r="E15" s="1286">
        <f>'12.Exportações'!D16</f>
        <v>25022.053</v>
      </c>
      <c r="F15" s="1276">
        <f t="shared" si="2"/>
        <v>0.00047374768709627566</v>
      </c>
      <c r="G15" s="1291">
        <f>'12.Exportações'!G16</f>
        <v>25777</v>
      </c>
      <c r="H15" s="1277">
        <f t="shared" si="0"/>
        <v>0.0004922218684920674</v>
      </c>
      <c r="I15" s="1274">
        <f t="shared" si="1"/>
        <v>-2.9287620747177723</v>
      </c>
      <c r="J15" s="130"/>
      <c r="K15" s="57"/>
    </row>
    <row r="16" spans="1:11" ht="15" customHeight="1">
      <c r="A16" s="58"/>
      <c r="B16" s="283"/>
      <c r="C16" s="1292"/>
      <c r="D16" s="1293" t="s">
        <v>89</v>
      </c>
      <c r="E16" s="1294">
        <f>'12.Exportações'!D17</f>
        <v>11.816</v>
      </c>
      <c r="F16" s="1295">
        <v>0</v>
      </c>
      <c r="G16" s="1294">
        <f>'12.Exportações'!G17</f>
        <v>30.142</v>
      </c>
      <c r="H16" s="1294">
        <v>0</v>
      </c>
      <c r="I16" s="1283">
        <f t="shared" si="1"/>
        <v>-60.798885276358575</v>
      </c>
      <c r="J16" s="130"/>
      <c r="K16" s="57"/>
    </row>
    <row r="17" spans="1:11" ht="15" customHeight="1">
      <c r="A17" s="58"/>
      <c r="B17" s="283"/>
      <c r="C17" s="1269" t="s">
        <v>90</v>
      </c>
      <c r="D17" s="1275"/>
      <c r="E17" s="1264">
        <v>2620444.823</v>
      </c>
      <c r="F17" s="1276">
        <f t="shared" si="2"/>
        <v>0.049613421970597676</v>
      </c>
      <c r="G17" s="1263">
        <v>1814981.863</v>
      </c>
      <c r="H17" s="1277">
        <f t="shared" si="0"/>
        <v>0.034657786549446144</v>
      </c>
      <c r="I17" s="1274">
        <f t="shared" si="1"/>
        <v>44.37856798572317</v>
      </c>
      <c r="J17" s="130"/>
      <c r="K17" s="57"/>
    </row>
    <row r="18" spans="1:11" ht="15" customHeight="1">
      <c r="A18" s="58"/>
      <c r="B18" s="283"/>
      <c r="C18" s="1269" t="s">
        <v>91</v>
      </c>
      <c r="D18" s="1275"/>
      <c r="E18" s="1264">
        <v>1467202.535</v>
      </c>
      <c r="F18" s="1276">
        <f t="shared" si="2"/>
        <v>0.027778848020905498</v>
      </c>
      <c r="G18" s="1263">
        <v>1686039.696</v>
      </c>
      <c r="H18" s="1277">
        <f t="shared" si="0"/>
        <v>0.03219558558082466</v>
      </c>
      <c r="I18" s="1274">
        <f t="shared" si="1"/>
        <v>-12.97935994740661</v>
      </c>
      <c r="J18" s="130"/>
      <c r="K18" s="57"/>
    </row>
    <row r="19" spans="1:11" ht="15" customHeight="1">
      <c r="A19" s="58"/>
      <c r="B19" s="283"/>
      <c r="C19" s="1269" t="s">
        <v>92</v>
      </c>
      <c r="D19" s="1275"/>
      <c r="E19" s="1264">
        <v>1033009.469</v>
      </c>
      <c r="F19" s="1276">
        <f t="shared" si="2"/>
        <v>0.0195581812046878</v>
      </c>
      <c r="G19" s="1263">
        <v>1138056.041</v>
      </c>
      <c r="H19" s="1277">
        <f t="shared" si="0"/>
        <v>0.02173162396515129</v>
      </c>
      <c r="I19" s="1274">
        <f t="shared" si="1"/>
        <v>-9.230351425198391</v>
      </c>
      <c r="J19" s="130"/>
      <c r="K19" s="57"/>
    </row>
    <row r="20" spans="1:11" ht="15" customHeight="1">
      <c r="A20" s="58"/>
      <c r="B20" s="283"/>
      <c r="C20" s="1269" t="s">
        <v>93</v>
      </c>
      <c r="D20" s="1275"/>
      <c r="E20" s="1264">
        <v>1285895.226</v>
      </c>
      <c r="F20" s="1276">
        <f t="shared" si="2"/>
        <v>0.024346119367808977</v>
      </c>
      <c r="G20" s="1263">
        <v>1336370.809</v>
      </c>
      <c r="H20" s="1277">
        <f t="shared" si="0"/>
        <v>0.025518521806425713</v>
      </c>
      <c r="I20" s="1274">
        <f t="shared" si="1"/>
        <v>-3.7770641696199925</v>
      </c>
      <c r="J20" s="130"/>
      <c r="K20" s="57"/>
    </row>
    <row r="21" spans="1:11" ht="15" customHeight="1">
      <c r="A21" s="58"/>
      <c r="B21" s="283"/>
      <c r="C21" s="1269" t="s">
        <v>94</v>
      </c>
      <c r="D21" s="1275"/>
      <c r="E21" s="1264">
        <v>806464.969</v>
      </c>
      <c r="F21" s="1276">
        <f t="shared" si="2"/>
        <v>0.015268967489914584</v>
      </c>
      <c r="G21" s="1263">
        <v>684027.897</v>
      </c>
      <c r="H21" s="1277">
        <f t="shared" si="0"/>
        <v>0.013061779476356419</v>
      </c>
      <c r="I21" s="1274">
        <f t="shared" si="1"/>
        <v>17.8994266954583</v>
      </c>
      <c r="J21" s="130"/>
      <c r="K21" s="57"/>
    </row>
    <row r="22" spans="1:11" ht="15" customHeight="1">
      <c r="A22" s="58"/>
      <c r="B22" s="283"/>
      <c r="C22" s="1269" t="s">
        <v>95</v>
      </c>
      <c r="D22" s="1275"/>
      <c r="E22" s="1264">
        <v>370784.761</v>
      </c>
      <c r="F22" s="1276">
        <f t="shared" si="2"/>
        <v>0.007020144307675128</v>
      </c>
      <c r="G22" s="1263">
        <v>388179.279</v>
      </c>
      <c r="H22" s="1277">
        <f t="shared" si="0"/>
        <v>0.007412434729382143</v>
      </c>
      <c r="I22" s="1274">
        <f t="shared" si="1"/>
        <v>-4.481052683906905</v>
      </c>
      <c r="J22" s="130"/>
      <c r="K22" s="57"/>
    </row>
    <row r="23" spans="1:11" ht="15" customHeight="1">
      <c r="A23" s="58"/>
      <c r="B23" s="380"/>
      <c r="C23" s="1269" t="s">
        <v>96</v>
      </c>
      <c r="D23" s="1275"/>
      <c r="E23" s="1264">
        <v>145694.882</v>
      </c>
      <c r="F23" s="1276">
        <f t="shared" si="2"/>
        <v>0.0027584712321273084</v>
      </c>
      <c r="G23" s="1263">
        <v>184319.102</v>
      </c>
      <c r="H23" s="1277">
        <f t="shared" si="0"/>
        <v>0.0035196451404438047</v>
      </c>
      <c r="I23" s="1274">
        <f t="shared" si="1"/>
        <v>-20.955082561111873</v>
      </c>
      <c r="J23" s="130"/>
      <c r="K23" s="57"/>
    </row>
    <row r="24" spans="1:11" ht="15" customHeight="1">
      <c r="A24" s="57"/>
      <c r="B24" s="380"/>
      <c r="C24" s="1269" t="s">
        <v>97</v>
      </c>
      <c r="D24" s="1275"/>
      <c r="E24" s="1267">
        <v>205243.404</v>
      </c>
      <c r="F24" s="1276">
        <f t="shared" si="2"/>
        <v>0.0038859156735367197</v>
      </c>
      <c r="G24" s="1268">
        <v>221847.344</v>
      </c>
      <c r="H24" s="1277">
        <f t="shared" si="0"/>
        <v>0.0042362615581209</v>
      </c>
      <c r="I24" s="1274">
        <f t="shared" si="1"/>
        <v>-7.484398821560834</v>
      </c>
      <c r="J24" s="130"/>
      <c r="K24" s="57"/>
    </row>
    <row r="25" spans="1:11" ht="15" customHeight="1">
      <c r="A25" s="57"/>
      <c r="B25" s="138"/>
      <c r="C25" s="1269" t="s">
        <v>98</v>
      </c>
      <c r="D25" s="1275"/>
      <c r="E25" s="1267">
        <v>186892.74</v>
      </c>
      <c r="F25" s="1276">
        <f t="shared" si="2"/>
        <v>0.0035384787695112627</v>
      </c>
      <c r="G25" s="1268">
        <v>246205.768</v>
      </c>
      <c r="H25" s="1277">
        <f t="shared" si="0"/>
        <v>0.004701395164622898</v>
      </c>
      <c r="I25" s="1274">
        <f t="shared" si="1"/>
        <v>-24.09083608471757</v>
      </c>
      <c r="J25" s="130"/>
      <c r="K25" s="57"/>
    </row>
    <row r="26" spans="1:11" ht="15" customHeight="1">
      <c r="A26" s="57"/>
      <c r="B26" s="172"/>
      <c r="C26" s="1269" t="s">
        <v>99</v>
      </c>
      <c r="D26" s="1275"/>
      <c r="E26" s="1264">
        <v>75681.167</v>
      </c>
      <c r="F26" s="1276">
        <f t="shared" si="2"/>
        <v>0.001432887134520776</v>
      </c>
      <c r="G26" s="1263">
        <v>150693.711</v>
      </c>
      <c r="H26" s="1277">
        <f t="shared" si="0"/>
        <v>0.0028775551847935606</v>
      </c>
      <c r="I26" s="1274">
        <f t="shared" si="1"/>
        <v>-49.778151657569836</v>
      </c>
      <c r="J26" s="130"/>
      <c r="K26" s="57"/>
    </row>
    <row r="27" spans="1:11" ht="15" customHeight="1">
      <c r="A27" s="57"/>
      <c r="B27" s="172"/>
      <c r="C27" s="1269" t="s">
        <v>100</v>
      </c>
      <c r="D27" s="1275"/>
      <c r="E27" s="1264">
        <v>219515.9</v>
      </c>
      <c r="F27" s="1276">
        <f t="shared" si="2"/>
        <v>0.004156139782209611</v>
      </c>
      <c r="G27" s="1263">
        <v>189037.712</v>
      </c>
      <c r="H27" s="1277">
        <f t="shared" si="0"/>
        <v>0.003609748838736288</v>
      </c>
      <c r="I27" s="1274">
        <f t="shared" si="1"/>
        <v>16.122808342073025</v>
      </c>
      <c r="J27" s="130"/>
      <c r="K27" s="57"/>
    </row>
    <row r="28" spans="1:11" ht="15" customHeight="1">
      <c r="A28" s="57"/>
      <c r="B28" s="172"/>
      <c r="C28" s="1269" t="s">
        <v>101</v>
      </c>
      <c r="D28" s="1275"/>
      <c r="E28" s="1264">
        <v>124806.473</v>
      </c>
      <c r="F28" s="1276">
        <f t="shared" si="2"/>
        <v>0.0023629866789265366</v>
      </c>
      <c r="G28" s="1263">
        <v>106560.075</v>
      </c>
      <c r="H28" s="1277">
        <f t="shared" si="0"/>
        <v>0.0020348061924643996</v>
      </c>
      <c r="I28" s="1274">
        <f t="shared" si="1"/>
        <v>17.123109194508366</v>
      </c>
      <c r="J28" s="130"/>
      <c r="K28" s="57"/>
    </row>
    <row r="29" spans="1:11" ht="15" customHeight="1">
      <c r="A29" s="57"/>
      <c r="B29" s="172"/>
      <c r="C29" s="1269" t="s">
        <v>102</v>
      </c>
      <c r="D29" s="1279"/>
      <c r="E29" s="1296">
        <f>E30-SUM(E7:E11,E17:E28)</f>
        <v>1652381.3730000183</v>
      </c>
      <c r="F29" s="1281">
        <f t="shared" si="2"/>
        <v>0.03128487713057466</v>
      </c>
      <c r="G29" s="1296">
        <f>G30-SUM(G7:G11,G17:G28)</f>
        <v>1683037.6700000018</v>
      </c>
      <c r="H29" s="1282">
        <f t="shared" si="0"/>
        <v>0.03213826072351074</v>
      </c>
      <c r="I29" s="1297">
        <f t="shared" si="1"/>
        <v>-1.8214860871167193</v>
      </c>
      <c r="J29" s="130"/>
      <c r="K29" s="57"/>
    </row>
    <row r="30" spans="1:11" ht="15" customHeight="1">
      <c r="A30" s="57"/>
      <c r="B30" s="172"/>
      <c r="C30" s="13" t="s">
        <v>103</v>
      </c>
      <c r="D30" s="14"/>
      <c r="E30" s="1265">
        <v>52817256.277</v>
      </c>
      <c r="F30" s="815">
        <f t="shared" si="2"/>
        <v>1</v>
      </c>
      <c r="G30" s="1266">
        <v>52368660.659</v>
      </c>
      <c r="H30" s="815">
        <f t="shared" si="0"/>
        <v>1</v>
      </c>
      <c r="I30" s="811">
        <f t="shared" si="1"/>
        <v>0.8566108286042429</v>
      </c>
      <c r="J30" s="130"/>
      <c r="K30" s="57"/>
    </row>
    <row r="31" spans="1:11" ht="12.75">
      <c r="A31" s="57"/>
      <c r="B31" s="111"/>
      <c r="C31" s="1386" t="s">
        <v>104</v>
      </c>
      <c r="D31" s="1386"/>
      <c r="E31" s="1386"/>
      <c r="F31" s="1386"/>
      <c r="G31" s="173"/>
      <c r="H31" s="173"/>
      <c r="I31" s="173"/>
      <c r="J31" s="131"/>
      <c r="K31" s="57"/>
    </row>
    <row r="32" spans="1:11" ht="15" customHeight="1">
      <c r="A32" s="57"/>
      <c r="B32" s="57"/>
      <c r="C32" s="57"/>
      <c r="D32" s="57"/>
      <c r="E32" s="57"/>
      <c r="F32" s="57"/>
      <c r="G32" s="57"/>
      <c r="H32" s="57"/>
      <c r="I32" s="57"/>
      <c r="J32" s="57"/>
      <c r="K32" s="57"/>
    </row>
  </sheetData>
  <sheetProtection/>
  <mergeCells count="9">
    <mergeCell ref="A1:K1"/>
    <mergeCell ref="C31:F31"/>
    <mergeCell ref="B2:J2"/>
    <mergeCell ref="C5:D6"/>
    <mergeCell ref="E5:F5"/>
    <mergeCell ref="G5:H5"/>
    <mergeCell ref="I5:I6"/>
    <mergeCell ref="B3:J3"/>
    <mergeCell ref="B4:J4"/>
  </mergeCells>
  <conditionalFormatting sqref="I7:I30">
    <cfRule type="cellIs" priority="2" dxfId="0" operator="lessThan" stopIfTrue="1">
      <formula>0</formula>
    </cfRule>
  </conditionalFormatting>
  <hyperlinks>
    <hyperlink ref="D31:F31" r:id="rId1" display="Fonte: AgroStat Brasil a partir de dados da SECEX/MDIC"/>
  </hyperlinks>
  <printOptions horizontalCentered="1" verticalCentered="1"/>
  <pageMargins left="0.5118110236220472" right="0.5118110236220472" top="0.7874015748031497" bottom="0.7874015748031497" header="0.31496062992125984" footer="0.31496062992125984"/>
  <pageSetup horizontalDpi="600" verticalDpi="600" orientation="landscape" paperSize="9" r:id="rId3"/>
  <drawing r:id="rId2"/>
</worksheet>
</file>

<file path=xl/worksheets/sheet15.xml><?xml version="1.0" encoding="utf-8"?>
<worksheet xmlns="http://schemas.openxmlformats.org/spreadsheetml/2006/main" xmlns:r="http://schemas.openxmlformats.org/officeDocument/2006/relationships">
  <dimension ref="A1:K29"/>
  <sheetViews>
    <sheetView zoomScalePageLayoutView="0" workbookViewId="0" topLeftCell="A1">
      <selection activeCell="M25" sqref="M25"/>
    </sheetView>
  </sheetViews>
  <sheetFormatPr defaultColWidth="9.140625" defaultRowHeight="12.75"/>
  <cols>
    <col min="1" max="1" width="2.7109375" style="0" customWidth="1"/>
    <col min="2" max="2" width="12.140625" style="0" customWidth="1"/>
    <col min="3" max="3" width="24.28125" style="0" customWidth="1"/>
    <col min="4" max="9" width="13.7109375" style="0" customWidth="1"/>
    <col min="10" max="10" width="10.57421875" style="0" customWidth="1"/>
    <col min="11" max="11" width="2.7109375" style="0" customWidth="1"/>
  </cols>
  <sheetData>
    <row r="1" spans="1:11" ht="15" customHeight="1">
      <c r="A1" s="1323" t="s">
        <v>417</v>
      </c>
      <c r="B1" s="1323"/>
      <c r="C1" s="1323"/>
      <c r="D1" s="1323"/>
      <c r="E1" s="1323"/>
      <c r="F1" s="1323"/>
      <c r="G1" s="1323"/>
      <c r="H1" s="1323"/>
      <c r="I1" s="1323"/>
      <c r="J1" s="1323"/>
      <c r="K1" s="1323"/>
    </row>
    <row r="2" spans="1:11" ht="18" customHeight="1">
      <c r="A2" s="58"/>
      <c r="B2" s="280"/>
      <c r="C2" s="381"/>
      <c r="D2" s="381"/>
      <c r="E2" s="381"/>
      <c r="F2" s="381"/>
      <c r="G2" s="381"/>
      <c r="H2" s="381"/>
      <c r="I2" s="381"/>
      <c r="J2" s="281"/>
      <c r="K2" s="58"/>
    </row>
    <row r="3" spans="1:11" ht="18" customHeight="1">
      <c r="A3" s="58"/>
      <c r="B3" s="1405" t="s">
        <v>157</v>
      </c>
      <c r="C3" s="1406"/>
      <c r="D3" s="1406"/>
      <c r="E3" s="1406"/>
      <c r="F3" s="1406"/>
      <c r="G3" s="1406"/>
      <c r="H3" s="1406"/>
      <c r="I3" s="1406"/>
      <c r="J3" s="1407"/>
      <c r="K3" s="57"/>
    </row>
    <row r="4" spans="1:11" ht="18" customHeight="1" thickBot="1">
      <c r="A4" s="58"/>
      <c r="B4" s="1405"/>
      <c r="C4" s="1406"/>
      <c r="D4" s="1406"/>
      <c r="E4" s="1406"/>
      <c r="F4" s="1406"/>
      <c r="G4" s="1406"/>
      <c r="H4" s="1406"/>
      <c r="I4" s="1406"/>
      <c r="J4" s="1407"/>
      <c r="K4" s="57"/>
    </row>
    <row r="5" spans="1:11" ht="18" customHeight="1">
      <c r="A5" s="58"/>
      <c r="B5" s="379"/>
      <c r="C5" s="1401" t="s">
        <v>84</v>
      </c>
      <c r="D5" s="1408" t="s">
        <v>602</v>
      </c>
      <c r="E5" s="1404"/>
      <c r="F5" s="1408" t="s">
        <v>603</v>
      </c>
      <c r="G5" s="1404"/>
      <c r="H5" s="1409" t="s">
        <v>105</v>
      </c>
      <c r="I5" s="1410"/>
      <c r="J5" s="130"/>
      <c r="K5" s="57"/>
    </row>
    <row r="6" spans="1:11" ht="18" customHeight="1">
      <c r="A6" s="58"/>
      <c r="B6" s="379"/>
      <c r="C6" s="1402"/>
      <c r="D6" s="306" t="s">
        <v>106</v>
      </c>
      <c r="E6" s="306" t="s">
        <v>328</v>
      </c>
      <c r="F6" s="306" t="s">
        <v>106</v>
      </c>
      <c r="G6" s="306" t="s">
        <v>328</v>
      </c>
      <c r="H6" s="1411" t="s">
        <v>451</v>
      </c>
      <c r="I6" s="1412"/>
      <c r="J6" s="130"/>
      <c r="K6" s="57"/>
    </row>
    <row r="7" spans="1:11" ht="18" customHeight="1" thickBot="1">
      <c r="A7" s="58"/>
      <c r="B7" s="379"/>
      <c r="C7" s="225"/>
      <c r="D7" s="307" t="s">
        <v>111</v>
      </c>
      <c r="E7" s="307" t="s">
        <v>110</v>
      </c>
      <c r="F7" s="307" t="s">
        <v>111</v>
      </c>
      <c r="G7" s="307" t="s">
        <v>110</v>
      </c>
      <c r="H7" s="307" t="s">
        <v>106</v>
      </c>
      <c r="I7" s="308" t="s">
        <v>328</v>
      </c>
      <c r="J7" s="130"/>
      <c r="K7" s="57"/>
    </row>
    <row r="8" spans="1:11" ht="18" customHeight="1">
      <c r="A8" s="58"/>
      <c r="B8" s="283"/>
      <c r="C8" s="525" t="s">
        <v>13</v>
      </c>
      <c r="D8" s="804">
        <v>27190</v>
      </c>
      <c r="E8" s="804">
        <v>231.34</v>
      </c>
      <c r="F8" s="804">
        <v>27302</v>
      </c>
      <c r="G8" s="804">
        <v>525.95</v>
      </c>
      <c r="H8" s="527">
        <f aca="true" t="shared" si="0" ref="H8:I11">SUM(D8-F8)*100/F8</f>
        <v>-0.41022635704344</v>
      </c>
      <c r="I8" s="528">
        <f t="shared" si="0"/>
        <v>-56.014830307063406</v>
      </c>
      <c r="J8" s="130"/>
      <c r="K8" s="57"/>
    </row>
    <row r="9" spans="1:11" ht="18" customHeight="1">
      <c r="A9" s="58"/>
      <c r="B9" s="283"/>
      <c r="C9" s="525" t="s">
        <v>112</v>
      </c>
      <c r="D9" s="1261">
        <v>1268430</v>
      </c>
      <c r="E9" s="805">
        <v>5506.19333333333</v>
      </c>
      <c r="F9" s="805">
        <v>27000</v>
      </c>
      <c r="G9" s="805">
        <v>225.81</v>
      </c>
      <c r="H9" s="527">
        <f t="shared" si="0"/>
        <v>4597.888888888889</v>
      </c>
      <c r="I9" s="528">
        <f t="shared" si="0"/>
        <v>2338.4187296104374</v>
      </c>
      <c r="J9" s="130"/>
      <c r="K9" s="57"/>
    </row>
    <row r="10" spans="1:11" ht="18" customHeight="1">
      <c r="A10" s="58"/>
      <c r="B10" s="283"/>
      <c r="C10" s="525" t="s">
        <v>158</v>
      </c>
      <c r="D10" s="1260">
        <v>28120695</v>
      </c>
      <c r="E10" s="805">
        <v>34364.6613333333</v>
      </c>
      <c r="F10" s="1228">
        <v>45662971</v>
      </c>
      <c r="G10" s="1227">
        <v>48782.4038333333</v>
      </c>
      <c r="H10" s="527">
        <f t="shared" si="0"/>
        <v>-38.4168520265578</v>
      </c>
      <c r="I10" s="528">
        <f t="shared" si="0"/>
        <v>-29.55521123817247</v>
      </c>
      <c r="J10" s="130"/>
      <c r="K10" s="57"/>
    </row>
    <row r="11" spans="1:11" ht="18" customHeight="1">
      <c r="A11" s="58"/>
      <c r="B11" s="283"/>
      <c r="C11" s="529" t="s">
        <v>114</v>
      </c>
      <c r="D11" s="805">
        <v>3096064</v>
      </c>
      <c r="E11" s="490">
        <v>14309.7933333333</v>
      </c>
      <c r="F11" s="805">
        <v>10897282</v>
      </c>
      <c r="G11" s="805">
        <v>42992.4733333333</v>
      </c>
      <c r="H11" s="531">
        <f t="shared" si="0"/>
        <v>-71.58865852971411</v>
      </c>
      <c r="I11" s="532">
        <f t="shared" si="0"/>
        <v>-66.71558478995786</v>
      </c>
      <c r="J11" s="130"/>
      <c r="K11" s="57"/>
    </row>
    <row r="12" spans="1:11" ht="18" customHeight="1" thickBot="1">
      <c r="A12" s="58"/>
      <c r="B12" s="283"/>
      <c r="C12" s="762" t="s">
        <v>278</v>
      </c>
      <c r="D12" s="806">
        <v>0</v>
      </c>
      <c r="E12" s="806">
        <v>0</v>
      </c>
      <c r="F12" s="806">
        <v>1966</v>
      </c>
      <c r="G12" s="806">
        <v>17.334</v>
      </c>
      <c r="H12" s="533">
        <v>0</v>
      </c>
      <c r="I12" s="534">
        <v>0</v>
      </c>
      <c r="J12" s="130"/>
      <c r="K12" s="57"/>
    </row>
    <row r="13" spans="1:11" ht="18" customHeight="1" thickBot="1">
      <c r="A13" s="58"/>
      <c r="B13" s="283"/>
      <c r="C13" s="309" t="s">
        <v>115</v>
      </c>
      <c r="D13" s="535">
        <f>SUM(D8:D12)</f>
        <v>32512379</v>
      </c>
      <c r="E13" s="535">
        <f>SUM(E8:E12)</f>
        <v>54411.98799999993</v>
      </c>
      <c r="F13" s="535">
        <f>SUM(F8:F12)</f>
        <v>56616521</v>
      </c>
      <c r="G13" s="535">
        <f>SUM(G8:G12)</f>
        <v>92543.9711666666</v>
      </c>
      <c r="H13" s="536">
        <f>SUM(D13-F13)*100/F13</f>
        <v>-42.57439626147286</v>
      </c>
      <c r="I13" s="537">
        <f>SUM(E13-G13)*100/G13</f>
        <v>-41.20417860391258</v>
      </c>
      <c r="J13" s="130"/>
      <c r="K13" s="57"/>
    </row>
    <row r="14" spans="1:11" ht="18" customHeight="1" thickBot="1">
      <c r="A14" s="58"/>
      <c r="B14" s="283"/>
      <c r="C14" s="191"/>
      <c r="D14" s="191"/>
      <c r="E14" s="191"/>
      <c r="F14" s="192"/>
      <c r="G14" s="192"/>
      <c r="H14" s="192"/>
      <c r="I14" s="193"/>
      <c r="J14" s="130"/>
      <c r="K14" s="57"/>
    </row>
    <row r="15" spans="1:11" ht="18" customHeight="1">
      <c r="A15" s="58"/>
      <c r="B15" s="283"/>
      <c r="C15" s="1401" t="s">
        <v>84</v>
      </c>
      <c r="D15" s="1403" t="s">
        <v>165</v>
      </c>
      <c r="E15" s="1404"/>
      <c r="F15" s="1403" t="s">
        <v>203</v>
      </c>
      <c r="G15" s="1404"/>
      <c r="H15" s="1403" t="s">
        <v>444</v>
      </c>
      <c r="I15" s="1404"/>
      <c r="J15" s="130"/>
      <c r="K15" s="57"/>
    </row>
    <row r="16" spans="1:11" ht="18" customHeight="1">
      <c r="A16" s="58"/>
      <c r="B16" s="283"/>
      <c r="C16" s="1402"/>
      <c r="D16" s="306" t="s">
        <v>106</v>
      </c>
      <c r="E16" s="306" t="s">
        <v>328</v>
      </c>
      <c r="F16" s="306" t="s">
        <v>106</v>
      </c>
      <c r="G16" s="306" t="s">
        <v>328</v>
      </c>
      <c r="H16" s="306" t="s">
        <v>106</v>
      </c>
      <c r="I16" s="422" t="s">
        <v>328</v>
      </c>
      <c r="J16" s="130"/>
      <c r="K16" s="57"/>
    </row>
    <row r="17" spans="1:11" ht="18" customHeight="1" thickBot="1">
      <c r="A17" s="58"/>
      <c r="B17" s="283"/>
      <c r="C17" s="225"/>
      <c r="D17" s="307" t="s">
        <v>111</v>
      </c>
      <c r="E17" s="307" t="s">
        <v>110</v>
      </c>
      <c r="F17" s="307" t="s">
        <v>111</v>
      </c>
      <c r="G17" s="307" t="s">
        <v>110</v>
      </c>
      <c r="H17" s="307" t="s">
        <v>111</v>
      </c>
      <c r="I17" s="308" t="s">
        <v>110</v>
      </c>
      <c r="J17" s="130"/>
      <c r="K17" s="57"/>
    </row>
    <row r="18" spans="1:11" ht="18" customHeight="1">
      <c r="A18" s="58"/>
      <c r="B18" s="283"/>
      <c r="C18" s="15" t="s">
        <v>13</v>
      </c>
      <c r="D18" s="16">
        <v>139325</v>
      </c>
      <c r="E18" s="16">
        <v>500</v>
      </c>
      <c r="F18" s="516">
        <v>35635</v>
      </c>
      <c r="G18" s="516">
        <v>256.95</v>
      </c>
      <c r="H18" s="516">
        <v>28836</v>
      </c>
      <c r="I18" s="526">
        <v>942.634</v>
      </c>
      <c r="J18" s="125"/>
      <c r="K18" s="115"/>
    </row>
    <row r="19" spans="1:11" ht="18" customHeight="1">
      <c r="A19" s="58"/>
      <c r="B19" s="283"/>
      <c r="C19" s="15" t="s">
        <v>112</v>
      </c>
      <c r="D19" s="16">
        <v>361438</v>
      </c>
      <c r="E19" s="16">
        <v>435</v>
      </c>
      <c r="F19" s="516">
        <v>95261</v>
      </c>
      <c r="G19" s="516">
        <v>577.7</v>
      </c>
      <c r="H19" s="516">
        <v>359174</v>
      </c>
      <c r="I19" s="526">
        <v>1506</v>
      </c>
      <c r="J19" s="125"/>
      <c r="K19" s="115"/>
    </row>
    <row r="20" spans="1:11" ht="18" customHeight="1">
      <c r="A20" s="58"/>
      <c r="B20" s="283"/>
      <c r="C20" s="15" t="s">
        <v>158</v>
      </c>
      <c r="D20" s="16">
        <v>32092593</v>
      </c>
      <c r="E20" s="16">
        <v>32780</v>
      </c>
      <c r="F20" s="516">
        <v>47884086</v>
      </c>
      <c r="G20" s="516">
        <v>48577.17</v>
      </c>
      <c r="H20" s="516">
        <v>67041713</v>
      </c>
      <c r="I20" s="526">
        <v>80517.6</v>
      </c>
      <c r="J20" s="125"/>
      <c r="K20" s="115"/>
    </row>
    <row r="21" spans="1:11" ht="18" customHeight="1">
      <c r="A21" s="58"/>
      <c r="B21" s="283"/>
      <c r="C21" s="224" t="s">
        <v>114</v>
      </c>
      <c r="D21" s="421">
        <v>7538246</v>
      </c>
      <c r="E21" s="421">
        <v>28903</v>
      </c>
      <c r="F21" s="530">
        <v>11985311</v>
      </c>
      <c r="G21" s="530">
        <v>43141.06</v>
      </c>
      <c r="H21" s="530">
        <v>16590835</v>
      </c>
      <c r="I21" s="532">
        <v>66068.64</v>
      </c>
      <c r="J21" s="125"/>
      <c r="K21" s="115"/>
    </row>
    <row r="22" spans="1:11" ht="18" customHeight="1" thickBot="1">
      <c r="A22" s="58"/>
      <c r="B22" s="283"/>
      <c r="C22" s="228" t="s">
        <v>278</v>
      </c>
      <c r="D22" s="16">
        <v>1662</v>
      </c>
      <c r="E22" s="16">
        <v>6</v>
      </c>
      <c r="F22" s="519">
        <v>1260</v>
      </c>
      <c r="G22" s="519">
        <v>8.23</v>
      </c>
      <c r="H22" s="519">
        <v>2389</v>
      </c>
      <c r="I22" s="534">
        <v>20.3</v>
      </c>
      <c r="J22" s="125"/>
      <c r="K22" s="115"/>
    </row>
    <row r="23" spans="1:11" ht="18" customHeight="1" thickBot="1">
      <c r="A23" s="58"/>
      <c r="B23" s="283"/>
      <c r="C23" s="309" t="s">
        <v>115</v>
      </c>
      <c r="D23" s="315">
        <f aca="true" t="shared" si="1" ref="D23:I23">SUM(D18:D22)</f>
        <v>40133264</v>
      </c>
      <c r="E23" s="315">
        <f t="shared" si="1"/>
        <v>62624</v>
      </c>
      <c r="F23" s="315">
        <f t="shared" si="1"/>
        <v>60001553</v>
      </c>
      <c r="G23" s="315">
        <f t="shared" si="1"/>
        <v>92561.11</v>
      </c>
      <c r="H23" s="423">
        <f t="shared" si="1"/>
        <v>84022947</v>
      </c>
      <c r="I23" s="424">
        <f t="shared" si="1"/>
        <v>149055.174</v>
      </c>
      <c r="J23" s="130"/>
      <c r="K23" s="57"/>
    </row>
    <row r="24" spans="1:11" ht="18" customHeight="1">
      <c r="A24" s="57"/>
      <c r="B24" s="283"/>
      <c r="C24" s="397" t="s">
        <v>116</v>
      </c>
      <c r="D24" s="191"/>
      <c r="E24" s="191"/>
      <c r="F24" s="192"/>
      <c r="G24" s="192"/>
      <c r="H24" s="192"/>
      <c r="I24" s="193"/>
      <c r="J24" s="130"/>
      <c r="K24" s="57"/>
    </row>
    <row r="25" spans="1:11" ht="18" customHeight="1">
      <c r="A25" s="57"/>
      <c r="B25" s="283"/>
      <c r="C25" s="397" t="s">
        <v>320</v>
      </c>
      <c r="D25" s="191"/>
      <c r="E25" s="191"/>
      <c r="F25" s="192"/>
      <c r="G25" s="192"/>
      <c r="H25" s="192"/>
      <c r="I25" s="193"/>
      <c r="J25" s="130"/>
      <c r="K25" s="57"/>
    </row>
    <row r="26" spans="1:11" ht="18" customHeight="1">
      <c r="A26" s="57"/>
      <c r="B26" s="111"/>
      <c r="C26" s="425"/>
      <c r="D26" s="426"/>
      <c r="E26" s="426"/>
      <c r="F26" s="427"/>
      <c r="G26" s="427"/>
      <c r="H26" s="427"/>
      <c r="I26" s="428"/>
      <c r="J26" s="131"/>
      <c r="K26" s="57"/>
    </row>
    <row r="27" spans="1:11" ht="15" customHeight="1">
      <c r="A27" s="57"/>
      <c r="B27" s="57"/>
      <c r="C27" s="57"/>
      <c r="D27" s="57"/>
      <c r="E27" s="57"/>
      <c r="F27" s="57"/>
      <c r="G27" s="57"/>
      <c r="H27" s="57"/>
      <c r="I27" s="57"/>
      <c r="J27" s="57"/>
      <c r="K27" s="57"/>
    </row>
    <row r="28" spans="3:7" ht="12.75">
      <c r="C28" s="3"/>
      <c r="D28" s="3"/>
      <c r="E28" s="3"/>
      <c r="F28" s="3"/>
      <c r="G28" s="3"/>
    </row>
    <row r="29" spans="3:7" ht="12.75">
      <c r="C29" s="3"/>
      <c r="D29" s="3"/>
      <c r="E29" s="3"/>
      <c r="F29" s="3"/>
      <c r="G29" s="3"/>
    </row>
  </sheetData>
  <sheetProtection/>
  <mergeCells count="12">
    <mergeCell ref="A1:K1"/>
    <mergeCell ref="C15:C16"/>
    <mergeCell ref="D15:E15"/>
    <mergeCell ref="F15:G15"/>
    <mergeCell ref="H15:I15"/>
    <mergeCell ref="B3:J3"/>
    <mergeCell ref="C5:C6"/>
    <mergeCell ref="D5:E5"/>
    <mergeCell ref="F5:G5"/>
    <mergeCell ref="B4:J4"/>
    <mergeCell ref="H5:I5"/>
    <mergeCell ref="H6:I6"/>
  </mergeCells>
  <printOptions horizontalCentered="1" verticalCentered="1"/>
  <pageMargins left="0.5118110236220472" right="0.5118110236220472" top="0.7874015748031497" bottom="0.7874015748031497" header="0.31496062992125984" footer="0.31496062992125984"/>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dimension ref="A1:N25"/>
  <sheetViews>
    <sheetView zoomScalePageLayoutView="0" workbookViewId="0" topLeftCell="A1">
      <selection activeCell="O23" sqref="O23"/>
    </sheetView>
  </sheetViews>
  <sheetFormatPr defaultColWidth="9.140625" defaultRowHeight="12.75"/>
  <cols>
    <col min="1" max="1" width="3.28125" style="0" customWidth="1"/>
    <col min="2" max="2" width="4.7109375" style="0" customWidth="1"/>
    <col min="3" max="3" width="25.8515625" style="0" customWidth="1"/>
    <col min="4" max="5" width="11.28125" style="0" bestFit="1" customWidth="1"/>
    <col min="6" max="6" width="10.140625" style="0" customWidth="1"/>
    <col min="7" max="8" width="11.28125" style="0" bestFit="1" customWidth="1"/>
    <col min="9" max="9" width="10.140625" style="0" bestFit="1" customWidth="1"/>
    <col min="10" max="10" width="8.140625" style="0" bestFit="1" customWidth="1"/>
    <col min="11" max="11" width="10.28125" style="0" bestFit="1" customWidth="1"/>
    <col min="12" max="12" width="9.57421875" style="0" bestFit="1" customWidth="1"/>
    <col min="13" max="13" width="4.8515625" style="0" customWidth="1"/>
    <col min="14" max="14" width="3.57421875" style="0" customWidth="1"/>
  </cols>
  <sheetData>
    <row r="1" spans="1:14" ht="15" customHeight="1">
      <c r="A1" s="1413" t="s">
        <v>480</v>
      </c>
      <c r="B1" s="1413"/>
      <c r="C1" s="1413"/>
      <c r="D1" s="1413"/>
      <c r="E1" s="1413"/>
      <c r="F1" s="1413"/>
      <c r="G1" s="1413"/>
      <c r="H1" s="1413"/>
      <c r="I1" s="1413"/>
      <c r="J1" s="1413"/>
      <c r="K1" s="1413"/>
      <c r="L1" s="1413"/>
      <c r="M1" s="1413"/>
      <c r="N1" s="1413"/>
    </row>
    <row r="2" spans="1:14" ht="19.5" customHeight="1">
      <c r="A2" s="60"/>
      <c r="B2" s="280"/>
      <c r="C2" s="381"/>
      <c r="D2" s="381"/>
      <c r="E2" s="381"/>
      <c r="F2" s="381"/>
      <c r="G2" s="381"/>
      <c r="H2" s="381"/>
      <c r="I2" s="381"/>
      <c r="J2" s="381"/>
      <c r="K2" s="381"/>
      <c r="L2" s="381"/>
      <c r="M2" s="281"/>
      <c r="N2" s="115"/>
    </row>
    <row r="3" spans="1:14" ht="19.5" customHeight="1">
      <c r="A3" s="60"/>
      <c r="B3" s="1390"/>
      <c r="C3" s="1391"/>
      <c r="D3" s="1391"/>
      <c r="E3" s="1391"/>
      <c r="F3" s="1391"/>
      <c r="G3" s="1391"/>
      <c r="H3" s="1391"/>
      <c r="I3" s="1391"/>
      <c r="J3" s="1391"/>
      <c r="K3" s="1391"/>
      <c r="L3" s="1391"/>
      <c r="M3" s="1392"/>
      <c r="N3" s="57"/>
    </row>
    <row r="4" spans="1:14" ht="19.5" customHeight="1">
      <c r="A4" s="60"/>
      <c r="B4" s="766"/>
      <c r="C4" s="766"/>
      <c r="D4" s="766"/>
      <c r="E4" s="766"/>
      <c r="F4" s="766"/>
      <c r="G4" s="766"/>
      <c r="H4" s="766"/>
      <c r="I4" s="766"/>
      <c r="J4" s="766"/>
      <c r="K4" s="766"/>
      <c r="L4" s="766"/>
      <c r="M4" s="767"/>
      <c r="N4" s="57"/>
    </row>
    <row r="5" spans="1:14" ht="19.5" customHeight="1">
      <c r="A5" s="60"/>
      <c r="B5" s="766"/>
      <c r="C5" s="766"/>
      <c r="D5" s="766"/>
      <c r="E5" s="766"/>
      <c r="F5" s="766"/>
      <c r="G5" s="766"/>
      <c r="H5" s="766"/>
      <c r="I5" s="766"/>
      <c r="J5" s="766"/>
      <c r="K5" s="766"/>
      <c r="L5" s="766"/>
      <c r="M5" s="767"/>
      <c r="N5" s="57"/>
    </row>
    <row r="6" spans="1:14" ht="19.5" customHeight="1">
      <c r="A6" s="60"/>
      <c r="B6" s="98"/>
      <c r="C6" s="1414"/>
      <c r="D6" s="1414"/>
      <c r="E6" s="287"/>
      <c r="F6" s="1414"/>
      <c r="G6" s="1414"/>
      <c r="H6" s="287"/>
      <c r="I6" s="1414"/>
      <c r="J6" s="1414"/>
      <c r="K6" s="1414"/>
      <c r="L6" s="287"/>
      <c r="M6" s="130"/>
      <c r="N6" s="57"/>
    </row>
    <row r="7" spans="1:14" ht="19.5" customHeight="1">
      <c r="A7" s="60"/>
      <c r="B7" s="98"/>
      <c r="C7" s="1414"/>
      <c r="D7" s="1414"/>
      <c r="E7" s="287"/>
      <c r="F7" s="287"/>
      <c r="G7" s="287"/>
      <c r="H7" s="287"/>
      <c r="I7" s="287"/>
      <c r="J7" s="287"/>
      <c r="K7" s="1414"/>
      <c r="L7" s="287"/>
      <c r="M7" s="130"/>
      <c r="N7" s="57"/>
    </row>
    <row r="8" spans="1:14" ht="19.5" customHeight="1">
      <c r="A8" s="60"/>
      <c r="B8" s="99"/>
      <c r="C8" s="1419" t="s">
        <v>277</v>
      </c>
      <c r="D8" s="1419"/>
      <c r="E8" s="1419"/>
      <c r="F8" s="1419"/>
      <c r="G8" s="1419"/>
      <c r="H8" s="1419"/>
      <c r="I8" s="1419"/>
      <c r="J8" s="1419"/>
      <c r="K8" s="1419"/>
      <c r="L8" s="1419"/>
      <c r="M8" s="130"/>
      <c r="N8" s="57"/>
    </row>
    <row r="9" spans="1:14" ht="19.5" customHeight="1" thickBot="1">
      <c r="A9" s="60"/>
      <c r="B9" s="99"/>
      <c r="C9" s="303"/>
      <c r="D9" s="303"/>
      <c r="E9" s="303"/>
      <c r="F9" s="303"/>
      <c r="G9" s="303"/>
      <c r="H9" s="303"/>
      <c r="I9" s="303"/>
      <c r="J9" s="303"/>
      <c r="K9" s="303"/>
      <c r="L9" s="303"/>
      <c r="M9" s="130"/>
      <c r="N9" s="57"/>
    </row>
    <row r="10" spans="1:14" ht="19.5" customHeight="1">
      <c r="A10" s="60"/>
      <c r="B10" s="99"/>
      <c r="C10" s="1401" t="s">
        <v>84</v>
      </c>
      <c r="D10" s="1415" t="s">
        <v>602</v>
      </c>
      <c r="E10" s="1416"/>
      <c r="F10" s="1417"/>
      <c r="G10" s="1415" t="s">
        <v>603</v>
      </c>
      <c r="H10" s="1416"/>
      <c r="I10" s="1417"/>
      <c r="J10" s="1409" t="s">
        <v>302</v>
      </c>
      <c r="K10" s="1418"/>
      <c r="L10" s="1418"/>
      <c r="M10" s="130"/>
      <c r="N10" s="57"/>
    </row>
    <row r="11" spans="1:14" ht="19.5" customHeight="1">
      <c r="A11" s="60"/>
      <c r="B11" s="99"/>
      <c r="C11" s="1402"/>
      <c r="D11" s="306" t="s">
        <v>106</v>
      </c>
      <c r="E11" s="306" t="s">
        <v>107</v>
      </c>
      <c r="F11" s="223" t="s">
        <v>276</v>
      </c>
      <c r="G11" s="306" t="s">
        <v>106</v>
      </c>
      <c r="H11" s="306" t="s">
        <v>107</v>
      </c>
      <c r="I11" s="223" t="s">
        <v>276</v>
      </c>
      <c r="J11" s="1411" t="s">
        <v>451</v>
      </c>
      <c r="K11" s="1412"/>
      <c r="L11" s="1412"/>
      <c r="M11" s="130"/>
      <c r="N11" s="57"/>
    </row>
    <row r="12" spans="1:14" ht="19.5" customHeight="1" thickBot="1">
      <c r="A12" s="60"/>
      <c r="B12" s="99"/>
      <c r="C12" s="225"/>
      <c r="D12" s="307" t="s">
        <v>279</v>
      </c>
      <c r="E12" s="307" t="s">
        <v>110</v>
      </c>
      <c r="F12" s="226" t="s">
        <v>111</v>
      </c>
      <c r="G12" s="307" t="s">
        <v>279</v>
      </c>
      <c r="H12" s="307" t="s">
        <v>110</v>
      </c>
      <c r="I12" s="226" t="s">
        <v>111</v>
      </c>
      <c r="J12" s="307" t="s">
        <v>106</v>
      </c>
      <c r="K12" s="308" t="s">
        <v>107</v>
      </c>
      <c r="L12" s="227" t="s">
        <v>276</v>
      </c>
      <c r="M12" s="130"/>
      <c r="N12" s="57"/>
    </row>
    <row r="13" spans="1:14" ht="19.5" customHeight="1">
      <c r="A13" s="60"/>
      <c r="B13" s="99"/>
      <c r="C13" s="224" t="s">
        <v>13</v>
      </c>
      <c r="D13" s="516">
        <f>'14.Exp. Verde'!C19</f>
        <v>2381174.675</v>
      </c>
      <c r="E13" s="516">
        <f>'14.Exp. Verde'!D19</f>
        <v>16131040.399999999</v>
      </c>
      <c r="F13" s="517">
        <f aca="true" t="shared" si="0" ref="F13:F18">(D13*1000)/E13</f>
        <v>147.61445114228343</v>
      </c>
      <c r="G13" s="516">
        <f>'14.Exp. Verde'!F13</f>
        <v>3261469</v>
      </c>
      <c r="H13" s="516">
        <f>'14.Exp. Verde'!$G$13</f>
        <v>18429433.336666666</v>
      </c>
      <c r="I13" s="518">
        <f aca="true" t="shared" si="1" ref="I13:I18">(G13*1000)/H13</f>
        <v>176.97066103009666</v>
      </c>
      <c r="J13" s="866">
        <f aca="true" t="shared" si="2" ref="J13:L18">SUM(D13-G13)*100/G13</f>
        <v>-26.990731017219545</v>
      </c>
      <c r="K13" s="870">
        <f t="shared" si="2"/>
        <v>-12.471316370286067</v>
      </c>
      <c r="L13" s="867">
        <f t="shared" si="2"/>
        <v>-16.588178920132275</v>
      </c>
      <c r="M13" s="130"/>
      <c r="N13" s="57"/>
    </row>
    <row r="14" spans="1:14" ht="19.5" customHeight="1">
      <c r="A14" s="60"/>
      <c r="B14" s="99"/>
      <c r="C14" s="15" t="s">
        <v>112</v>
      </c>
      <c r="D14" s="516">
        <f>'15.Exp. Solúvel'!C19</f>
        <v>303747.419</v>
      </c>
      <c r="E14" s="516">
        <f>'15.Exp. Solúvel'!D19</f>
        <v>2023373.3736333328</v>
      </c>
      <c r="F14" s="517">
        <f t="shared" si="0"/>
        <v>150.1193121141881</v>
      </c>
      <c r="G14" s="516">
        <f>'15.Exp. Solúvel'!F13</f>
        <v>330630</v>
      </c>
      <c r="H14" s="516">
        <f>'15.Exp. Solúvel'!G13</f>
        <v>1950389.6666666667</v>
      </c>
      <c r="I14" s="518">
        <f t="shared" si="1"/>
        <v>169.5199711373915</v>
      </c>
      <c r="J14" s="866">
        <f t="shared" si="2"/>
        <v>-8.130714393733177</v>
      </c>
      <c r="K14" s="870">
        <f t="shared" si="2"/>
        <v>3.742006441789634</v>
      </c>
      <c r="L14" s="867">
        <f t="shared" si="2"/>
        <v>-11.444468101920386</v>
      </c>
      <c r="M14" s="130"/>
      <c r="N14" s="57"/>
    </row>
    <row r="15" spans="1:14" ht="19.5" customHeight="1">
      <c r="A15" s="60"/>
      <c r="B15" s="99"/>
      <c r="C15" s="15" t="s">
        <v>158</v>
      </c>
      <c r="D15" s="516">
        <f>'16.Exp. Torrado'!C19</f>
        <v>5798.23</v>
      </c>
      <c r="E15" s="516">
        <f>'16.Exp. Torrado'!D19</f>
        <v>20339.104166666657</v>
      </c>
      <c r="F15" s="517">
        <f t="shared" si="0"/>
        <v>285.07794406710406</v>
      </c>
      <c r="G15" s="516">
        <f>'16.Exp. Torrado'!F13</f>
        <v>6145</v>
      </c>
      <c r="H15" s="516">
        <f>'16.Exp. Torrado'!G13</f>
        <v>19793.833333333332</v>
      </c>
      <c r="I15" s="518">
        <f t="shared" si="1"/>
        <v>310.45022439648716</v>
      </c>
      <c r="J15" s="866">
        <f t="shared" si="2"/>
        <v>-5.643124491456476</v>
      </c>
      <c r="K15" s="870">
        <f t="shared" si="2"/>
        <v>2.7547510588314115</v>
      </c>
      <c r="L15" s="867">
        <f t="shared" si="2"/>
        <v>-8.17273699147959</v>
      </c>
      <c r="M15" s="130"/>
      <c r="N15" s="57"/>
    </row>
    <row r="16" spans="1:14" ht="19.5" customHeight="1">
      <c r="A16" s="60"/>
      <c r="B16" s="99"/>
      <c r="C16" s="15" t="s">
        <v>114</v>
      </c>
      <c r="D16" s="516">
        <f>'17.Exp. Extrato'!C19</f>
        <v>25022.053</v>
      </c>
      <c r="E16" s="516">
        <f>'17.Exp. Extrato'!D19</f>
        <v>210135.33</v>
      </c>
      <c r="F16" s="517">
        <f t="shared" si="0"/>
        <v>119.07589742286555</v>
      </c>
      <c r="G16" s="516">
        <f>'17.Exp. Extrato'!F13</f>
        <v>25777</v>
      </c>
      <c r="H16" s="516">
        <f>'17.Exp. Extrato'!G13</f>
        <v>189193.3333333333</v>
      </c>
      <c r="I16" s="518">
        <f t="shared" si="1"/>
        <v>136.24687268755068</v>
      </c>
      <c r="J16" s="866">
        <f t="shared" si="2"/>
        <v>-2.9287620747177723</v>
      </c>
      <c r="K16" s="870">
        <f t="shared" si="2"/>
        <v>11.069098629268126</v>
      </c>
      <c r="L16" s="867">
        <f t="shared" si="2"/>
        <v>-12.602839922838166</v>
      </c>
      <c r="M16" s="130"/>
      <c r="N16" s="57"/>
    </row>
    <row r="17" spans="1:14" ht="19.5" customHeight="1" thickBot="1">
      <c r="A17" s="60"/>
      <c r="B17" s="99"/>
      <c r="C17" s="228" t="s">
        <v>275</v>
      </c>
      <c r="D17" s="519">
        <v>11.816</v>
      </c>
      <c r="E17" s="519">
        <v>90.1333333333333</v>
      </c>
      <c r="F17" s="517">
        <f t="shared" si="0"/>
        <v>131.09467455621308</v>
      </c>
      <c r="G17" s="519">
        <v>30.142</v>
      </c>
      <c r="H17" s="519">
        <v>76.2666666666666</v>
      </c>
      <c r="I17" s="518">
        <f t="shared" si="1"/>
        <v>395.21853146853186</v>
      </c>
      <c r="J17" s="866">
        <f t="shared" si="2"/>
        <v>-60.798885276358575</v>
      </c>
      <c r="K17" s="870">
        <f t="shared" si="2"/>
        <v>18.181818181818244</v>
      </c>
      <c r="L17" s="867">
        <f t="shared" si="2"/>
        <v>-66.82982600307265</v>
      </c>
      <c r="M17" s="130"/>
      <c r="N17" s="57"/>
    </row>
    <row r="18" spans="1:14" ht="19.5" customHeight="1" thickBot="1">
      <c r="A18" s="60"/>
      <c r="B18" s="99"/>
      <c r="C18" s="304" t="s">
        <v>115</v>
      </c>
      <c r="D18" s="520">
        <f>SUM(D13:D17)</f>
        <v>2715754.1929999995</v>
      </c>
      <c r="E18" s="520">
        <f>SUM(E13:E17)</f>
        <v>18384978.34113333</v>
      </c>
      <c r="F18" s="521">
        <f t="shared" si="0"/>
        <v>147.715931050294</v>
      </c>
      <c r="G18" s="520">
        <f>SUM(G13:G17)</f>
        <v>3624051.142</v>
      </c>
      <c r="H18" s="520">
        <f>SUM(H13:H17)</f>
        <v>20588886.436666664</v>
      </c>
      <c r="I18" s="522">
        <f t="shared" si="1"/>
        <v>176.01977421886897</v>
      </c>
      <c r="J18" s="868">
        <f>SUM(D18-G18)*100/G18</f>
        <v>-25.063027904698384</v>
      </c>
      <c r="K18" s="871">
        <f>SUM(E18-H18)*100/H18</f>
        <v>-10.704357918106744</v>
      </c>
      <c r="L18" s="869">
        <f t="shared" si="2"/>
        <v>-16.0799224372263</v>
      </c>
      <c r="M18" s="130"/>
      <c r="N18" s="57"/>
    </row>
    <row r="19" spans="1:14" ht="19.5" customHeight="1">
      <c r="A19" s="60"/>
      <c r="B19" s="99"/>
      <c r="C19" s="305" t="s">
        <v>116</v>
      </c>
      <c r="D19" s="181"/>
      <c r="E19" s="181"/>
      <c r="F19" s="181"/>
      <c r="G19" s="181"/>
      <c r="H19" s="181"/>
      <c r="I19" s="181"/>
      <c r="J19" s="181"/>
      <c r="K19" s="181"/>
      <c r="L19" s="181"/>
      <c r="M19" s="130"/>
      <c r="N19" s="57"/>
    </row>
    <row r="20" spans="1:14" ht="19.5" customHeight="1">
      <c r="A20" s="60"/>
      <c r="B20" s="99"/>
      <c r="C20" s="305"/>
      <c r="D20" s="181"/>
      <c r="E20" s="181"/>
      <c r="F20" s="181"/>
      <c r="G20" s="181"/>
      <c r="H20" s="181"/>
      <c r="I20" s="181"/>
      <c r="J20" s="181"/>
      <c r="K20" s="181"/>
      <c r="L20" s="181"/>
      <c r="M20" s="130"/>
      <c r="N20" s="57"/>
    </row>
    <row r="21" spans="1:14" ht="19.5" customHeight="1">
      <c r="A21" s="60"/>
      <c r="B21" s="99"/>
      <c r="C21" s="305"/>
      <c r="D21" s="181"/>
      <c r="E21" s="181"/>
      <c r="F21" s="181"/>
      <c r="G21" s="181"/>
      <c r="H21" s="181"/>
      <c r="I21" s="181"/>
      <c r="J21" s="181"/>
      <c r="K21" s="181"/>
      <c r="L21" s="181"/>
      <c r="M21" s="130"/>
      <c r="N21" s="57"/>
    </row>
    <row r="22" spans="1:14" ht="19.5" customHeight="1">
      <c r="A22" s="60"/>
      <c r="B22" s="99"/>
      <c r="C22" s="305"/>
      <c r="D22" s="181"/>
      <c r="E22" s="181"/>
      <c r="F22" s="181"/>
      <c r="G22" s="181"/>
      <c r="H22" s="181"/>
      <c r="I22" s="181"/>
      <c r="J22" s="181"/>
      <c r="K22" s="181"/>
      <c r="L22" s="181"/>
      <c r="M22" s="130"/>
      <c r="N22" s="57"/>
    </row>
    <row r="23" spans="1:14" ht="19.5" customHeight="1">
      <c r="A23" s="57"/>
      <c r="B23" s="172"/>
      <c r="C23" s="194"/>
      <c r="D23" s="194"/>
      <c r="E23" s="194"/>
      <c r="F23" s="195"/>
      <c r="G23" s="192"/>
      <c r="H23" s="192"/>
      <c r="I23" s="195"/>
      <c r="J23" s="192"/>
      <c r="K23" s="193"/>
      <c r="L23" s="193"/>
      <c r="M23" s="130"/>
      <c r="N23" s="57"/>
    </row>
    <row r="24" spans="1:14" ht="19.5" customHeight="1">
      <c r="A24" s="57"/>
      <c r="B24" s="111"/>
      <c r="C24" s="1386"/>
      <c r="D24" s="1386"/>
      <c r="E24" s="1386"/>
      <c r="F24" s="1386"/>
      <c r="G24" s="1386"/>
      <c r="H24" s="302"/>
      <c r="I24" s="173"/>
      <c r="J24" s="173"/>
      <c r="K24" s="173"/>
      <c r="L24" s="173"/>
      <c r="M24" s="131"/>
      <c r="N24" s="57"/>
    </row>
    <row r="25" spans="1:14" ht="15" customHeight="1">
      <c r="A25" s="57"/>
      <c r="B25" s="57"/>
      <c r="C25" s="57"/>
      <c r="D25" s="57"/>
      <c r="E25" s="57"/>
      <c r="F25" s="57"/>
      <c r="G25" s="57"/>
      <c r="H25" s="57"/>
      <c r="I25" s="57"/>
      <c r="J25" s="57"/>
      <c r="K25" s="57"/>
      <c r="L25" s="57"/>
      <c r="M25" s="57"/>
      <c r="N25" s="57"/>
    </row>
  </sheetData>
  <sheetProtection/>
  <mergeCells count="13">
    <mergeCell ref="A1:N1"/>
    <mergeCell ref="C24:G24"/>
    <mergeCell ref="C10:C11"/>
    <mergeCell ref="B3:M3"/>
    <mergeCell ref="C6:D7"/>
    <mergeCell ref="F6:G6"/>
    <mergeCell ref="I6:J6"/>
    <mergeCell ref="K6:K7"/>
    <mergeCell ref="D10:F10"/>
    <mergeCell ref="G10:I10"/>
    <mergeCell ref="J10:L10"/>
    <mergeCell ref="J11:L11"/>
    <mergeCell ref="C8:L8"/>
  </mergeCells>
  <printOptions horizontalCentered="1"/>
  <pageMargins left="0.5118110236220472" right="0.5118110236220472" top="0.7874015748031497" bottom="0.7874015748031497" header="0.31496062992125984" footer="0.31496062992125984"/>
  <pageSetup horizontalDpi="600" verticalDpi="600" orientation="landscape" paperSize="9" scale="95" r:id="rId2"/>
  <drawing r:id="rId1"/>
</worksheet>
</file>

<file path=xl/worksheets/sheet17.xml><?xml version="1.0" encoding="utf-8"?>
<worksheet xmlns="http://schemas.openxmlformats.org/spreadsheetml/2006/main" xmlns:r="http://schemas.openxmlformats.org/officeDocument/2006/relationships">
  <dimension ref="A1:S32"/>
  <sheetViews>
    <sheetView zoomScalePageLayoutView="0" workbookViewId="0" topLeftCell="A1">
      <selection activeCell="T30" sqref="T30"/>
    </sheetView>
  </sheetViews>
  <sheetFormatPr defaultColWidth="9.140625" defaultRowHeight="12.75"/>
  <cols>
    <col min="1" max="1" width="2.8515625" style="0" customWidth="1"/>
    <col min="2" max="2" width="10.00390625" style="0" customWidth="1"/>
    <col min="3" max="9" width="7.7109375" style="0" bestFit="1" customWidth="1"/>
    <col min="10" max="10" width="9.140625" style="0" bestFit="1" customWidth="1"/>
    <col min="11" max="15" width="9.00390625" style="0" bestFit="1" customWidth="1"/>
    <col min="16" max="17" width="9.00390625" style="0" customWidth="1"/>
    <col min="18" max="18" width="9.8515625" style="0" bestFit="1" customWidth="1"/>
    <col min="19" max="19" width="2.8515625" style="0" customWidth="1"/>
  </cols>
  <sheetData>
    <row r="1" spans="1:19" ht="14.25">
      <c r="A1" s="1423" t="s">
        <v>481</v>
      </c>
      <c r="B1" s="1423"/>
      <c r="C1" s="1423"/>
      <c r="D1" s="1423"/>
      <c r="E1" s="1423"/>
      <c r="F1" s="1423"/>
      <c r="G1" s="1423"/>
      <c r="H1" s="1423"/>
      <c r="I1" s="1423"/>
      <c r="J1" s="1423"/>
      <c r="K1" s="1423"/>
      <c r="L1" s="1423"/>
      <c r="M1" s="1423"/>
      <c r="N1" s="1423"/>
      <c r="O1" s="1423"/>
      <c r="P1" s="1423"/>
      <c r="Q1" s="1423"/>
      <c r="R1" s="1423"/>
      <c r="S1" s="1423"/>
    </row>
    <row r="2" spans="1:19" ht="15" customHeight="1">
      <c r="A2" s="279"/>
      <c r="B2" s="280"/>
      <c r="C2" s="381"/>
      <c r="D2" s="381"/>
      <c r="E2" s="381"/>
      <c r="F2" s="381"/>
      <c r="G2" s="381"/>
      <c r="H2" s="381"/>
      <c r="I2" s="381"/>
      <c r="J2" s="381"/>
      <c r="K2" s="381"/>
      <c r="L2" s="381"/>
      <c r="M2" s="381"/>
      <c r="N2" s="381"/>
      <c r="O2" s="381"/>
      <c r="P2" s="381"/>
      <c r="Q2" s="381"/>
      <c r="R2" s="281"/>
      <c r="S2" s="279"/>
    </row>
    <row r="3" spans="1:19" ht="15" customHeight="1">
      <c r="A3" s="279"/>
      <c r="B3" s="172"/>
      <c r="C3" s="125"/>
      <c r="D3" s="125"/>
      <c r="E3" s="125"/>
      <c r="F3" s="125"/>
      <c r="G3" s="125"/>
      <c r="H3" s="125"/>
      <c r="I3" s="125"/>
      <c r="J3" s="125"/>
      <c r="K3" s="125"/>
      <c r="L3" s="125"/>
      <c r="M3" s="125"/>
      <c r="N3" s="125"/>
      <c r="O3" s="125"/>
      <c r="P3" s="125"/>
      <c r="Q3" s="125"/>
      <c r="R3" s="130"/>
      <c r="S3" s="279"/>
    </row>
    <row r="4" spans="1:19" ht="15" customHeight="1">
      <c r="A4" s="279"/>
      <c r="B4" s="1427" t="s">
        <v>535</v>
      </c>
      <c r="C4" s="1428"/>
      <c r="D4" s="1428"/>
      <c r="E4" s="1428"/>
      <c r="F4" s="1428"/>
      <c r="G4" s="1428"/>
      <c r="H4" s="1428"/>
      <c r="I4" s="1428"/>
      <c r="J4" s="1428"/>
      <c r="K4" s="1428"/>
      <c r="L4" s="1428"/>
      <c r="M4" s="1428"/>
      <c r="N4" s="1428"/>
      <c r="O4" s="1428"/>
      <c r="P4" s="1428"/>
      <c r="Q4" s="1428"/>
      <c r="R4" s="1429"/>
      <c r="S4" s="279"/>
    </row>
    <row r="5" spans="1:19" ht="15" customHeight="1">
      <c r="A5" s="279"/>
      <c r="B5" s="1424" t="s">
        <v>520</v>
      </c>
      <c r="C5" s="1425"/>
      <c r="D5" s="1425"/>
      <c r="E5" s="1425"/>
      <c r="F5" s="1425"/>
      <c r="G5" s="1425"/>
      <c r="H5" s="1425"/>
      <c r="I5" s="1425"/>
      <c r="J5" s="1425"/>
      <c r="K5" s="1425"/>
      <c r="L5" s="1425"/>
      <c r="M5" s="1425"/>
      <c r="N5" s="1425"/>
      <c r="O5" s="1425"/>
      <c r="P5" s="1425"/>
      <c r="Q5" s="1425"/>
      <c r="R5" s="1426"/>
      <c r="S5" s="279"/>
    </row>
    <row r="6" spans="1:19" ht="15" customHeight="1">
      <c r="A6" s="279"/>
      <c r="B6" s="1424" t="s">
        <v>521</v>
      </c>
      <c r="C6" s="1425"/>
      <c r="D6" s="1425"/>
      <c r="E6" s="1425"/>
      <c r="F6" s="1425"/>
      <c r="G6" s="1425"/>
      <c r="H6" s="1425"/>
      <c r="I6" s="1425"/>
      <c r="J6" s="1425"/>
      <c r="K6" s="1425"/>
      <c r="L6" s="1425"/>
      <c r="M6" s="1425"/>
      <c r="N6" s="1425"/>
      <c r="O6" s="1425"/>
      <c r="P6" s="1425"/>
      <c r="Q6" s="1425"/>
      <c r="R6" s="1426"/>
      <c r="S6" s="279"/>
    </row>
    <row r="7" spans="1:19" ht="15" customHeight="1">
      <c r="A7" s="279"/>
      <c r="B7" s="1199"/>
      <c r="C7" s="1200"/>
      <c r="D7" s="1200"/>
      <c r="E7" s="1200"/>
      <c r="F7" s="1200"/>
      <c r="G7" s="1200"/>
      <c r="H7" s="1200"/>
      <c r="I7" s="1253"/>
      <c r="J7" s="1200"/>
      <c r="K7" s="1200"/>
      <c r="L7" s="1200"/>
      <c r="M7" s="1200"/>
      <c r="N7" s="1200"/>
      <c r="O7" s="1200"/>
      <c r="P7" s="1200"/>
      <c r="Q7" s="1253"/>
      <c r="R7" s="1201"/>
      <c r="S7" s="279"/>
    </row>
    <row r="8" spans="1:19" ht="15" customHeight="1" thickBot="1">
      <c r="A8" s="279"/>
      <c r="B8" s="1186"/>
      <c r="C8" s="180"/>
      <c r="D8" s="180"/>
      <c r="E8" s="180"/>
      <c r="F8" s="180"/>
      <c r="G8" s="180"/>
      <c r="H8" s="180"/>
      <c r="I8" s="180"/>
      <c r="J8" s="180"/>
      <c r="K8" s="180"/>
      <c r="L8" s="180"/>
      <c r="M8" s="180"/>
      <c r="N8" s="180"/>
      <c r="O8" s="180"/>
      <c r="P8" s="180"/>
      <c r="Q8" s="180"/>
      <c r="R8" s="1187"/>
      <c r="S8" s="279"/>
    </row>
    <row r="9" spans="1:19" ht="15" customHeight="1">
      <c r="A9" s="279"/>
      <c r="B9" s="1202" t="s">
        <v>84</v>
      </c>
      <c r="C9" s="1420" t="s">
        <v>522</v>
      </c>
      <c r="D9" s="1421"/>
      <c r="E9" s="1421"/>
      <c r="F9" s="1421"/>
      <c r="G9" s="1421"/>
      <c r="H9" s="1421"/>
      <c r="I9" s="1421"/>
      <c r="J9" s="1422"/>
      <c r="K9" s="1420" t="s">
        <v>523</v>
      </c>
      <c r="L9" s="1421"/>
      <c r="M9" s="1421"/>
      <c r="N9" s="1421"/>
      <c r="O9" s="1421"/>
      <c r="P9" s="1421"/>
      <c r="Q9" s="1421"/>
      <c r="R9" s="1422"/>
      <c r="S9" s="279"/>
    </row>
    <row r="10" spans="1:19" ht="15" customHeight="1" thickBot="1">
      <c r="A10" s="279"/>
      <c r="B10" s="1203" t="s">
        <v>524</v>
      </c>
      <c r="C10" s="1204" t="s">
        <v>525</v>
      </c>
      <c r="D10" s="1205" t="s">
        <v>526</v>
      </c>
      <c r="E10" s="1205" t="s">
        <v>527</v>
      </c>
      <c r="F10" s="1205" t="s">
        <v>528</v>
      </c>
      <c r="G10" s="1205" t="s">
        <v>529</v>
      </c>
      <c r="H10" s="1205" t="s">
        <v>126</v>
      </c>
      <c r="I10" s="1208" t="s">
        <v>128</v>
      </c>
      <c r="J10" s="1206" t="s">
        <v>115</v>
      </c>
      <c r="K10" s="1207" t="s">
        <v>525</v>
      </c>
      <c r="L10" s="1205" t="s">
        <v>526</v>
      </c>
      <c r="M10" s="1205" t="s">
        <v>527</v>
      </c>
      <c r="N10" s="1205" t="s">
        <v>528</v>
      </c>
      <c r="O10" s="1205" t="s">
        <v>529</v>
      </c>
      <c r="P10" s="1205" t="s">
        <v>126</v>
      </c>
      <c r="Q10" s="1208" t="s">
        <v>128</v>
      </c>
      <c r="R10" s="1206" t="s">
        <v>115</v>
      </c>
      <c r="S10" s="279"/>
    </row>
    <row r="11" spans="1:19" ht="15" customHeight="1">
      <c r="A11" s="279"/>
      <c r="B11" s="1209"/>
      <c r="C11" s="1210"/>
      <c r="D11" s="293"/>
      <c r="E11" s="293"/>
      <c r="F11" s="293"/>
      <c r="G11" s="293"/>
      <c r="H11" s="293"/>
      <c r="I11" s="1211"/>
      <c r="J11" s="1211"/>
      <c r="K11" s="293"/>
      <c r="L11" s="293"/>
      <c r="M11" s="293"/>
      <c r="N11" s="1212"/>
      <c r="O11" s="293"/>
      <c r="P11" s="293"/>
      <c r="Q11" s="1211"/>
      <c r="R11" s="1211"/>
      <c r="S11" s="279"/>
    </row>
    <row r="12" spans="1:19" ht="15" customHeight="1">
      <c r="A12" s="279"/>
      <c r="B12" s="1209" t="s">
        <v>13</v>
      </c>
      <c r="C12" s="1172">
        <v>363398.93</v>
      </c>
      <c r="D12" s="1173">
        <v>396956.48500000004</v>
      </c>
      <c r="E12" s="1173">
        <v>405948.70200000005</v>
      </c>
      <c r="F12" s="1173">
        <v>325534.8999999999</v>
      </c>
      <c r="G12" s="1173">
        <v>314619.176</v>
      </c>
      <c r="H12" s="1173">
        <v>303319</v>
      </c>
      <c r="I12" s="1255">
        <v>271398</v>
      </c>
      <c r="J12" s="1174">
        <f>C12+D12+E12+F12+G12+H12+I12</f>
        <v>2381175.193</v>
      </c>
      <c r="K12" s="1189">
        <v>2485113.3</v>
      </c>
      <c r="L12" s="1173">
        <v>2668755.58</v>
      </c>
      <c r="M12" s="1173">
        <v>2775268.8030000003</v>
      </c>
      <c r="N12" s="1173">
        <v>2232325.3670000006</v>
      </c>
      <c r="O12" s="1173">
        <v>2167831.1999999993</v>
      </c>
      <c r="P12" s="1173">
        <v>2064340</v>
      </c>
      <c r="Q12" s="1255">
        <v>1737406.45</v>
      </c>
      <c r="R12" s="1174">
        <f>K12+L12+M12+N12+O12+P12+Q12</f>
        <v>16131040.7</v>
      </c>
      <c r="S12" s="279"/>
    </row>
    <row r="13" spans="1:19" ht="15" customHeight="1">
      <c r="A13" s="279"/>
      <c r="B13" s="1209" t="s">
        <v>112</v>
      </c>
      <c r="C13" s="1172">
        <v>37861.644</v>
      </c>
      <c r="D13" s="1173">
        <v>47089.56</v>
      </c>
      <c r="E13" s="1173">
        <v>45282.05499999999</v>
      </c>
      <c r="F13" s="1173">
        <v>40252.15599999999</v>
      </c>
      <c r="G13" s="1173">
        <v>40721.891</v>
      </c>
      <c r="H13" s="1173">
        <v>45207</v>
      </c>
      <c r="I13" s="1255">
        <v>47333</v>
      </c>
      <c r="J13" s="1174">
        <f>C13+D13+E13+F13+G13+H13+I13</f>
        <v>303747.306</v>
      </c>
      <c r="K13" s="1189">
        <v>250387.41</v>
      </c>
      <c r="L13" s="1173">
        <v>318061.07999999996</v>
      </c>
      <c r="M13" s="1173">
        <v>306639.1429999999</v>
      </c>
      <c r="N13" s="1173">
        <v>265805.1732999999</v>
      </c>
      <c r="O13" s="1173">
        <v>269620.4539999999</v>
      </c>
      <c r="P13" s="1173">
        <v>305737</v>
      </c>
      <c r="Q13" s="1255">
        <v>307123.473333333</v>
      </c>
      <c r="R13" s="1174">
        <f>K13+L13+M13+N13+O13+P13+Q13</f>
        <v>2023373.7336333327</v>
      </c>
      <c r="S13" s="279"/>
    </row>
    <row r="14" spans="1:19" ht="15" customHeight="1">
      <c r="A14" s="279"/>
      <c r="B14" s="1209" t="s">
        <v>553</v>
      </c>
      <c r="C14" s="1172">
        <v>596.523</v>
      </c>
      <c r="D14" s="1173">
        <v>1116.13</v>
      </c>
      <c r="E14" s="1173">
        <v>596.0259999999998</v>
      </c>
      <c r="F14" s="1173">
        <v>976.7139999999999</v>
      </c>
      <c r="G14" s="1173">
        <v>484.33899999999994</v>
      </c>
      <c r="H14" s="1173">
        <v>1150</v>
      </c>
      <c r="I14" s="1174">
        <v>879</v>
      </c>
      <c r="J14" s="1174">
        <f>C14+D14+E14+F14+G14+H14+I14</f>
        <v>5798.732</v>
      </c>
      <c r="K14" s="1189">
        <v>2257.29</v>
      </c>
      <c r="L14" s="1173">
        <v>2282.38</v>
      </c>
      <c r="M14" s="1173">
        <v>3605.602</v>
      </c>
      <c r="N14" s="1173">
        <v>3097.96</v>
      </c>
      <c r="O14" s="1173">
        <v>1754.8999999999996</v>
      </c>
      <c r="P14" s="1173">
        <v>4406</v>
      </c>
      <c r="Q14" s="1174">
        <v>2934.62716666666</v>
      </c>
      <c r="R14" s="1174">
        <f>K14+L14+M14+N14+O14+P14+Q14</f>
        <v>20338.759166666656</v>
      </c>
      <c r="S14" s="279"/>
    </row>
    <row r="15" spans="1:19" ht="15" customHeight="1">
      <c r="A15" s="279"/>
      <c r="B15" s="1209" t="s">
        <v>554</v>
      </c>
      <c r="C15" s="1172">
        <v>1704.243</v>
      </c>
      <c r="D15" s="1173">
        <v>2375.075</v>
      </c>
      <c r="E15" s="1173">
        <v>2992.078</v>
      </c>
      <c r="F15" s="1173">
        <v>4727.608000000001</v>
      </c>
      <c r="G15" s="1173">
        <v>5498.4310000000005</v>
      </c>
      <c r="H15" s="1173">
        <v>4304</v>
      </c>
      <c r="I15" s="1255">
        <v>3420</v>
      </c>
      <c r="J15" s="1174">
        <f>C15+D15+E15+F15+G15+H15+I15</f>
        <v>25021.435</v>
      </c>
      <c r="K15" s="1189">
        <v>17190.07</v>
      </c>
      <c r="L15" s="1173">
        <v>20005.36</v>
      </c>
      <c r="M15" s="1173">
        <v>22923.373</v>
      </c>
      <c r="N15" s="1173">
        <v>41200.92</v>
      </c>
      <c r="O15" s="1173">
        <v>40746.747</v>
      </c>
      <c r="P15" s="1173">
        <v>38335</v>
      </c>
      <c r="Q15" s="1255">
        <v>29733.99</v>
      </c>
      <c r="R15" s="1174">
        <f>K15+L15+M15+N15+O15+P15+Q15</f>
        <v>210135.46</v>
      </c>
      <c r="S15" s="279"/>
    </row>
    <row r="16" spans="1:19" ht="15" customHeight="1">
      <c r="A16" s="279"/>
      <c r="B16" s="1256" t="s">
        <v>555</v>
      </c>
      <c r="C16" s="1175">
        <v>0</v>
      </c>
      <c r="D16" s="1176">
        <v>4.487</v>
      </c>
      <c r="E16" s="1176">
        <v>1.1</v>
      </c>
      <c r="F16" s="1176">
        <v>1.949</v>
      </c>
      <c r="G16" s="1176">
        <v>0.33000000000000007</v>
      </c>
      <c r="H16" s="1176">
        <v>1</v>
      </c>
      <c r="I16" s="1177">
        <v>3</v>
      </c>
      <c r="J16" s="1174">
        <f>C16+D16+E16+F16+G16+H16+I16</f>
        <v>11.866</v>
      </c>
      <c r="K16" s="1178">
        <v>0</v>
      </c>
      <c r="L16" s="1176">
        <v>43.3</v>
      </c>
      <c r="M16" s="1176">
        <v>8.24</v>
      </c>
      <c r="N16" s="1176">
        <v>15.29</v>
      </c>
      <c r="O16" s="1176">
        <v>4.626999999999995</v>
      </c>
      <c r="P16" s="1176">
        <v>9</v>
      </c>
      <c r="Q16" s="1177">
        <v>10</v>
      </c>
      <c r="R16" s="1174">
        <f>K16+L16+M16+N16+O16+P16+Q16</f>
        <v>90.457</v>
      </c>
      <c r="S16" s="279"/>
    </row>
    <row r="17" spans="1:19" ht="15" customHeight="1" thickBot="1">
      <c r="A17" s="279"/>
      <c r="B17" s="1213" t="s">
        <v>115</v>
      </c>
      <c r="C17" s="1179">
        <f aca="true" t="shared" si="0" ref="C17:R17">SUM(C12:C16)</f>
        <v>403561.34</v>
      </c>
      <c r="D17" s="1180">
        <f t="shared" si="0"/>
        <v>447541.7370000001</v>
      </c>
      <c r="E17" s="1180">
        <f t="shared" si="0"/>
        <v>454819.961</v>
      </c>
      <c r="F17" s="1181">
        <f t="shared" si="0"/>
        <v>371493.3269999999</v>
      </c>
      <c r="G17" s="1180">
        <f t="shared" si="0"/>
        <v>361324.16699999996</v>
      </c>
      <c r="H17" s="1181">
        <f t="shared" si="0"/>
        <v>353981</v>
      </c>
      <c r="I17" s="1184">
        <f>SUM(I12:I16)</f>
        <v>323033</v>
      </c>
      <c r="J17" s="1184">
        <f t="shared" si="0"/>
        <v>2715754.5319999997</v>
      </c>
      <c r="K17" s="1219">
        <f t="shared" si="0"/>
        <v>2754948.07</v>
      </c>
      <c r="L17" s="1181">
        <f t="shared" si="0"/>
        <v>3009147.6999999997</v>
      </c>
      <c r="M17" s="1181">
        <f t="shared" si="0"/>
        <v>3108445.161000001</v>
      </c>
      <c r="N17" s="1181">
        <f t="shared" si="0"/>
        <v>2542444.7103000004</v>
      </c>
      <c r="O17" s="1181">
        <f t="shared" si="0"/>
        <v>2479957.927999999</v>
      </c>
      <c r="P17" s="1181">
        <f t="shared" si="0"/>
        <v>2412827</v>
      </c>
      <c r="Q17" s="1184">
        <f>SUM(Q12:Q16)</f>
        <v>2077208.5404999994</v>
      </c>
      <c r="R17" s="1184">
        <f t="shared" si="0"/>
        <v>18384979.109799996</v>
      </c>
      <c r="S17" s="279"/>
    </row>
    <row r="18" spans="1:19" ht="15" customHeight="1">
      <c r="A18" s="279"/>
      <c r="B18" s="413"/>
      <c r="C18" s="1189"/>
      <c r="D18" s="1173"/>
      <c r="E18" s="1173"/>
      <c r="F18" s="1173"/>
      <c r="G18" s="1173"/>
      <c r="H18" s="1173"/>
      <c r="I18" s="1173"/>
      <c r="J18" s="1173"/>
      <c r="K18" s="1189"/>
      <c r="L18" s="1173"/>
      <c r="M18" s="1173"/>
      <c r="N18" s="1173"/>
      <c r="O18" s="1173"/>
      <c r="P18" s="1173"/>
      <c r="Q18" s="1173"/>
      <c r="R18" s="1174"/>
      <c r="S18" s="279"/>
    </row>
    <row r="19" spans="1:19" ht="15" customHeight="1" thickBot="1">
      <c r="A19" s="279"/>
      <c r="B19" s="1218"/>
      <c r="C19" s="1207"/>
      <c r="D19" s="1180"/>
      <c r="E19" s="1214"/>
      <c r="F19" s="1214"/>
      <c r="G19" s="1214"/>
      <c r="H19" s="1214"/>
      <c r="I19" s="1214"/>
      <c r="J19" s="1180"/>
      <c r="K19" s="1214"/>
      <c r="L19" s="1214"/>
      <c r="M19" s="1214"/>
      <c r="N19" s="1214"/>
      <c r="O19" s="1214"/>
      <c r="P19" s="1214"/>
      <c r="Q19" s="1214"/>
      <c r="R19" s="1182"/>
      <c r="S19" s="279"/>
    </row>
    <row r="20" spans="1:19" ht="15" customHeight="1">
      <c r="A20" s="279"/>
      <c r="B20" s="1215" t="s">
        <v>84</v>
      </c>
      <c r="C20" s="1420" t="s">
        <v>522</v>
      </c>
      <c r="D20" s="1421"/>
      <c r="E20" s="1421"/>
      <c r="F20" s="1421"/>
      <c r="G20" s="1421"/>
      <c r="H20" s="1421"/>
      <c r="I20" s="1421"/>
      <c r="J20" s="1422"/>
      <c r="K20" s="1420" t="s">
        <v>523</v>
      </c>
      <c r="L20" s="1421"/>
      <c r="M20" s="1421"/>
      <c r="N20" s="1421"/>
      <c r="O20" s="1421"/>
      <c r="P20" s="1421"/>
      <c r="Q20" s="1421"/>
      <c r="R20" s="1422"/>
      <c r="S20" s="279"/>
    </row>
    <row r="21" spans="1:19" ht="15" customHeight="1" thickBot="1">
      <c r="A21" s="279"/>
      <c r="B21" s="1203" t="s">
        <v>530</v>
      </c>
      <c r="C21" s="1204" t="s">
        <v>525</v>
      </c>
      <c r="D21" s="1205" t="s">
        <v>526</v>
      </c>
      <c r="E21" s="1205" t="s">
        <v>527</v>
      </c>
      <c r="F21" s="1205" t="s">
        <v>528</v>
      </c>
      <c r="G21" s="1205" t="s">
        <v>529</v>
      </c>
      <c r="H21" s="1205" t="s">
        <v>126</v>
      </c>
      <c r="I21" s="1208" t="s">
        <v>128</v>
      </c>
      <c r="J21" s="1206" t="s">
        <v>115</v>
      </c>
      <c r="K21" s="1207" t="s">
        <v>525</v>
      </c>
      <c r="L21" s="1205" t="s">
        <v>526</v>
      </c>
      <c r="M21" s="1205" t="s">
        <v>527</v>
      </c>
      <c r="N21" s="1205" t="s">
        <v>528</v>
      </c>
      <c r="O21" s="1205" t="s">
        <v>529</v>
      </c>
      <c r="P21" s="1205" t="s">
        <v>126</v>
      </c>
      <c r="Q21" s="1208" t="s">
        <v>128</v>
      </c>
      <c r="R21" s="1206" t="s">
        <v>115</v>
      </c>
      <c r="S21" s="279"/>
    </row>
    <row r="22" spans="1:19" ht="15" customHeight="1">
      <c r="A22" s="279"/>
      <c r="B22" s="1209"/>
      <c r="C22" s="1210"/>
      <c r="D22" s="293"/>
      <c r="E22" s="293"/>
      <c r="F22" s="1212"/>
      <c r="G22" s="293"/>
      <c r="H22" s="293"/>
      <c r="I22" s="1211"/>
      <c r="J22" s="1174"/>
      <c r="K22" s="293"/>
      <c r="L22" s="293"/>
      <c r="M22" s="293"/>
      <c r="N22" s="1212"/>
      <c r="O22" s="293"/>
      <c r="P22" s="293"/>
      <c r="Q22" s="1211"/>
      <c r="R22" s="1174"/>
      <c r="S22" s="279"/>
    </row>
    <row r="23" spans="1:19" ht="15" customHeight="1">
      <c r="A23" s="279"/>
      <c r="B23" s="1209" t="s">
        <v>13</v>
      </c>
      <c r="C23" s="1172">
        <v>546288.258</v>
      </c>
      <c r="D23" s="1173">
        <v>493481.796</v>
      </c>
      <c r="E23" s="1173">
        <v>519707.917</v>
      </c>
      <c r="F23" s="1173">
        <v>468848.028</v>
      </c>
      <c r="G23" s="1173">
        <v>434545.00100000016</v>
      </c>
      <c r="H23" s="1254">
        <v>392821</v>
      </c>
      <c r="I23" s="1255">
        <v>405777</v>
      </c>
      <c r="J23" s="1174">
        <f>C23+D23+E23+F23+G23+H23+I23</f>
        <v>3261469</v>
      </c>
      <c r="K23" s="1220">
        <v>2724750</v>
      </c>
      <c r="L23" s="1220">
        <v>2513466.666666666</v>
      </c>
      <c r="M23" s="1220">
        <v>2860383.333333334</v>
      </c>
      <c r="N23" s="1173">
        <v>2815050</v>
      </c>
      <c r="O23" s="1173">
        <v>2630416.666666666</v>
      </c>
      <c r="P23" s="1254">
        <v>2386266.666666666</v>
      </c>
      <c r="Q23" s="1255">
        <v>2499100</v>
      </c>
      <c r="R23" s="1174">
        <f>K23+L23+M23+N23+O23+P23+Q23</f>
        <v>18429433.333333332</v>
      </c>
      <c r="S23" s="279"/>
    </row>
    <row r="24" spans="1:19" ht="15" customHeight="1">
      <c r="A24" s="279"/>
      <c r="B24" s="1209" t="s">
        <v>112</v>
      </c>
      <c r="C24" s="1172">
        <v>39830.908</v>
      </c>
      <c r="D24" s="1173">
        <v>42123.211</v>
      </c>
      <c r="E24" s="1173">
        <v>50778.792</v>
      </c>
      <c r="F24" s="1173">
        <v>51658.414</v>
      </c>
      <c r="G24" s="1173">
        <v>44441.67499999999</v>
      </c>
      <c r="H24" s="1254">
        <v>51099</v>
      </c>
      <c r="I24" s="1255">
        <v>50698</v>
      </c>
      <c r="J24" s="1174">
        <f>C24+D24+E24+F24+G24+H24+I24</f>
        <v>330630</v>
      </c>
      <c r="K24" s="1220">
        <v>228973.33333333334</v>
      </c>
      <c r="L24" s="1220">
        <v>235993.33333333334</v>
      </c>
      <c r="M24" s="1220">
        <v>289813.33333333326</v>
      </c>
      <c r="N24" s="1173">
        <v>306626.66666666674</v>
      </c>
      <c r="O24" s="1173">
        <v>266023.33333333326</v>
      </c>
      <c r="P24" s="1254">
        <v>307406.66666666686</v>
      </c>
      <c r="Q24" s="1255">
        <v>315553</v>
      </c>
      <c r="R24" s="1174">
        <f>K24+L24+M24+N24+O24+P24+Q24</f>
        <v>1950389.666666667</v>
      </c>
      <c r="S24" s="279"/>
    </row>
    <row r="25" spans="1:19" ht="15" customHeight="1">
      <c r="A25" s="279"/>
      <c r="B25" s="1209" t="s">
        <v>553</v>
      </c>
      <c r="C25" s="1172">
        <v>302.336</v>
      </c>
      <c r="D25" s="1173">
        <v>911.353</v>
      </c>
      <c r="E25" s="1173">
        <v>1146.074</v>
      </c>
      <c r="F25" s="1173">
        <v>607.329</v>
      </c>
      <c r="G25" s="1173">
        <v>794.9080000000004</v>
      </c>
      <c r="H25" s="1254">
        <v>1280</v>
      </c>
      <c r="I25" s="1174">
        <v>1103</v>
      </c>
      <c r="J25" s="1174">
        <f>C25+D25+E25+F25+G25+H25+I25</f>
        <v>6145</v>
      </c>
      <c r="K25" s="1220">
        <v>912.3333333333334</v>
      </c>
      <c r="L25" s="1220">
        <v>2816.3333333333335</v>
      </c>
      <c r="M25" s="1220">
        <v>3946.8333333333335</v>
      </c>
      <c r="N25" s="1173">
        <v>1804.833333333334</v>
      </c>
      <c r="O25" s="1173">
        <v>2419.666666666666</v>
      </c>
      <c r="P25" s="1254">
        <v>4184.833333333332</v>
      </c>
      <c r="Q25" s="1174">
        <v>3709</v>
      </c>
      <c r="R25" s="1174">
        <f>K25+L25+M25+N25+O25+P25+Q25</f>
        <v>19793.833333333332</v>
      </c>
      <c r="S25" s="279"/>
    </row>
    <row r="26" spans="1:19" ht="15" customHeight="1">
      <c r="A26" s="279"/>
      <c r="B26" s="1209" t="s">
        <v>554</v>
      </c>
      <c r="C26" s="1172">
        <v>2615.253</v>
      </c>
      <c r="D26" s="1173">
        <v>3502.506</v>
      </c>
      <c r="E26" s="1173">
        <v>3664.12</v>
      </c>
      <c r="F26" s="1173">
        <v>4107.687</v>
      </c>
      <c r="G26" s="1173">
        <v>4077.4339999999993</v>
      </c>
      <c r="H26" s="1254">
        <v>4392</v>
      </c>
      <c r="I26" s="1255">
        <v>3418</v>
      </c>
      <c r="J26" s="1174">
        <f>C26+D26+E26+F26+G26+H26+I26</f>
        <v>25777</v>
      </c>
      <c r="K26" s="1220">
        <v>25696.666666666668</v>
      </c>
      <c r="L26" s="1220">
        <v>24613.333333333332</v>
      </c>
      <c r="M26" s="1220">
        <v>21926.666666666668</v>
      </c>
      <c r="N26" s="1173">
        <v>26433.33333333333</v>
      </c>
      <c r="O26" s="1173">
        <v>28123.33333333333</v>
      </c>
      <c r="P26" s="1254">
        <v>32890</v>
      </c>
      <c r="Q26" s="1255">
        <v>29510</v>
      </c>
      <c r="R26" s="1174">
        <f>K26+L26+M26+N26+O26+P26+Q26</f>
        <v>189193.3333333333</v>
      </c>
      <c r="S26" s="279"/>
    </row>
    <row r="27" spans="1:19" ht="15" customHeight="1">
      <c r="A27" s="279"/>
      <c r="B27" s="1256" t="s">
        <v>555</v>
      </c>
      <c r="C27" s="1175">
        <v>0</v>
      </c>
      <c r="D27" s="1176">
        <v>17.047</v>
      </c>
      <c r="E27" s="1176">
        <v>0.001</v>
      </c>
      <c r="F27" s="1176">
        <v>0</v>
      </c>
      <c r="G27" s="1176">
        <v>0</v>
      </c>
      <c r="H27" s="1222">
        <v>0</v>
      </c>
      <c r="I27" s="1223">
        <v>13</v>
      </c>
      <c r="J27" s="1174">
        <f>C27+D27+E27+F27+G27+H27+I27</f>
        <v>30.048000000000002</v>
      </c>
      <c r="K27" s="1221">
        <v>0</v>
      </c>
      <c r="L27" s="1222">
        <v>12.166666666666666</v>
      </c>
      <c r="M27" s="1222">
        <v>0</v>
      </c>
      <c r="N27" s="1176">
        <v>0</v>
      </c>
      <c r="O27" s="1176">
        <v>0</v>
      </c>
      <c r="P27" s="1222">
        <v>0</v>
      </c>
      <c r="Q27" s="1223">
        <v>64</v>
      </c>
      <c r="R27" s="1177">
        <f>K27+L27+M27+N27+O27+P27+Q27</f>
        <v>76.16666666666667</v>
      </c>
      <c r="S27" s="279"/>
    </row>
    <row r="28" spans="1:19" ht="15" customHeight="1" thickBot="1">
      <c r="A28" s="279"/>
      <c r="B28" s="1216" t="s">
        <v>115</v>
      </c>
      <c r="C28" s="1179">
        <f aca="true" t="shared" si="1" ref="C28:R28">SUM(C23:C27)</f>
        <v>589036.7550000001</v>
      </c>
      <c r="D28" s="1180">
        <f t="shared" si="1"/>
        <v>540035.9130000001</v>
      </c>
      <c r="E28" s="1180">
        <f t="shared" si="1"/>
        <v>575296.9040000001</v>
      </c>
      <c r="F28" s="1180">
        <f t="shared" si="1"/>
        <v>525221.458</v>
      </c>
      <c r="G28" s="1180">
        <f t="shared" si="1"/>
        <v>483859.01800000016</v>
      </c>
      <c r="H28" s="1181">
        <f t="shared" si="1"/>
        <v>449592</v>
      </c>
      <c r="I28" s="1184">
        <f>SUM(I23:I27)</f>
        <v>461009</v>
      </c>
      <c r="J28" s="1184">
        <f t="shared" si="1"/>
        <v>3624051.048</v>
      </c>
      <c r="K28" s="1183">
        <f t="shared" si="1"/>
        <v>2980332.3333333335</v>
      </c>
      <c r="L28" s="1180">
        <f t="shared" si="1"/>
        <v>2776901.833333333</v>
      </c>
      <c r="M28" s="1180">
        <f t="shared" si="1"/>
        <v>3176070.166666667</v>
      </c>
      <c r="N28" s="1180">
        <f t="shared" si="1"/>
        <v>3149914.833333334</v>
      </c>
      <c r="O28" s="1181">
        <f t="shared" si="1"/>
        <v>2926982.999999999</v>
      </c>
      <c r="P28" s="1181">
        <f t="shared" si="1"/>
        <v>2730748.1666666665</v>
      </c>
      <c r="Q28" s="1184">
        <f>SUM(Q23:Q27)</f>
        <v>2847936</v>
      </c>
      <c r="R28" s="1184">
        <f t="shared" si="1"/>
        <v>20588886.333333332</v>
      </c>
      <c r="S28" s="279"/>
    </row>
    <row r="29" spans="1:19" ht="15" customHeight="1">
      <c r="A29" s="279"/>
      <c r="B29" s="413" t="s">
        <v>116</v>
      </c>
      <c r="C29" s="293"/>
      <c r="D29" s="1173"/>
      <c r="E29" s="397"/>
      <c r="F29" s="397"/>
      <c r="G29" s="397"/>
      <c r="H29" s="397"/>
      <c r="I29" s="397"/>
      <c r="J29" s="397"/>
      <c r="K29" s="397"/>
      <c r="L29" s="397"/>
      <c r="M29" s="397"/>
      <c r="N29" s="397"/>
      <c r="O29" s="397"/>
      <c r="P29" s="397"/>
      <c r="Q29" s="397"/>
      <c r="R29" s="1217"/>
      <c r="S29" s="279"/>
    </row>
    <row r="30" spans="1:19" ht="15" customHeight="1">
      <c r="A30" s="279"/>
      <c r="B30" s="1190"/>
      <c r="C30" s="1188"/>
      <c r="D30" s="1185"/>
      <c r="E30" s="125"/>
      <c r="F30" s="125"/>
      <c r="G30" s="125"/>
      <c r="H30" s="125"/>
      <c r="I30" s="125"/>
      <c r="J30" s="125"/>
      <c r="K30" s="125"/>
      <c r="L30" s="125"/>
      <c r="M30" s="125"/>
      <c r="N30" s="125"/>
      <c r="O30" s="125"/>
      <c r="P30" s="125"/>
      <c r="Q30" s="125"/>
      <c r="R30" s="130"/>
      <c r="S30" s="279"/>
    </row>
    <row r="31" spans="1:19" ht="15" customHeight="1">
      <c r="A31" s="279"/>
      <c r="B31" s="111"/>
      <c r="C31" s="113"/>
      <c r="D31" s="113"/>
      <c r="E31" s="113"/>
      <c r="F31" s="113"/>
      <c r="G31" s="113"/>
      <c r="H31" s="113"/>
      <c r="I31" s="113"/>
      <c r="J31" s="113"/>
      <c r="K31" s="113"/>
      <c r="L31" s="113"/>
      <c r="M31" s="113"/>
      <c r="N31" s="113"/>
      <c r="O31" s="113"/>
      <c r="P31" s="113"/>
      <c r="Q31" s="113"/>
      <c r="R31" s="131"/>
      <c r="S31" s="279"/>
    </row>
    <row r="32" spans="1:19" ht="12.75">
      <c r="A32" s="279"/>
      <c r="B32" s="279"/>
      <c r="C32" s="279"/>
      <c r="D32" s="279"/>
      <c r="E32" s="279"/>
      <c r="F32" s="279"/>
      <c r="G32" s="279"/>
      <c r="H32" s="279"/>
      <c r="I32" s="279"/>
      <c r="J32" s="279"/>
      <c r="K32" s="279"/>
      <c r="L32" s="279"/>
      <c r="M32" s="279"/>
      <c r="N32" s="279"/>
      <c r="O32" s="279"/>
      <c r="P32" s="279"/>
      <c r="Q32" s="279"/>
      <c r="R32" s="279"/>
      <c r="S32" s="279"/>
    </row>
  </sheetData>
  <sheetProtection/>
  <mergeCells count="8">
    <mergeCell ref="C20:J20"/>
    <mergeCell ref="K20:R20"/>
    <mergeCell ref="A1:S1"/>
    <mergeCell ref="B6:R6"/>
    <mergeCell ref="C9:J9"/>
    <mergeCell ref="B4:R4"/>
    <mergeCell ref="B5:R5"/>
    <mergeCell ref="K9:R9"/>
  </mergeCells>
  <printOptions horizontalCentered="1"/>
  <pageMargins left="0.5118110236220472" right="0.5118110236220472" top="0.7874015748031497" bottom="0.7874015748031497" header="0.31496062992125984" footer="0.31496062992125984"/>
  <pageSetup horizontalDpi="600" verticalDpi="600" orientation="landscape" paperSize="9" scale="90" r:id="rId1"/>
</worksheet>
</file>

<file path=xl/worksheets/sheet18.xml><?xml version="1.0" encoding="utf-8"?>
<worksheet xmlns="http://schemas.openxmlformats.org/spreadsheetml/2006/main" xmlns:r="http://schemas.openxmlformats.org/officeDocument/2006/relationships">
  <dimension ref="A1:M91"/>
  <sheetViews>
    <sheetView zoomScalePageLayoutView="0" workbookViewId="0" topLeftCell="A1">
      <selection activeCell="N32" sqref="N32"/>
    </sheetView>
  </sheetViews>
  <sheetFormatPr defaultColWidth="11.421875" defaultRowHeight="12.75"/>
  <cols>
    <col min="1" max="1" width="3.140625" style="2" customWidth="1"/>
    <col min="2" max="2" width="15.421875" style="2" customWidth="1"/>
    <col min="3" max="3" width="10.28125" style="2" bestFit="1" customWidth="1"/>
    <col min="4" max="4" width="11.28125" style="2" bestFit="1" customWidth="1"/>
    <col min="5" max="5" width="8.7109375" style="2" customWidth="1"/>
    <col min="6" max="6" width="11.421875" style="2" customWidth="1"/>
    <col min="7" max="7" width="11.8515625" style="2" customWidth="1"/>
    <col min="8" max="8" width="8.7109375" style="2" customWidth="1"/>
    <col min="9" max="9" width="10.7109375" style="2" customWidth="1"/>
    <col min="10" max="10" width="13.7109375" style="2" customWidth="1"/>
    <col min="11" max="11" width="11.28125" style="2" bestFit="1" customWidth="1"/>
    <col min="12" max="12" width="13.7109375" style="2" customWidth="1"/>
    <col min="13" max="13" width="2.7109375" style="2" customWidth="1"/>
    <col min="14" max="14" width="11.421875" style="2" customWidth="1"/>
    <col min="15" max="15" width="13.7109375" style="2" bestFit="1" customWidth="1"/>
    <col min="16" max="16" width="11.421875" style="2" customWidth="1"/>
    <col min="17" max="17" width="14.28125" style="2" bestFit="1" customWidth="1"/>
    <col min="18" max="16384" width="11.421875" style="2" customWidth="1"/>
  </cols>
  <sheetData>
    <row r="1" spans="1:13" ht="15" customHeight="1">
      <c r="A1" s="398"/>
      <c r="B1" s="1430" t="s">
        <v>418</v>
      </c>
      <c r="C1" s="1430"/>
      <c r="D1" s="1430"/>
      <c r="E1" s="1430"/>
      <c r="F1" s="1430"/>
      <c r="G1" s="1430"/>
      <c r="H1" s="1430"/>
      <c r="I1" s="1430"/>
      <c r="J1" s="1430"/>
      <c r="K1" s="1430"/>
      <c r="L1" s="1430"/>
      <c r="M1" s="1430"/>
    </row>
    <row r="2" spans="1:13" ht="24" customHeight="1">
      <c r="A2" s="398"/>
      <c r="B2" s="1431" t="s">
        <v>117</v>
      </c>
      <c r="C2" s="1432"/>
      <c r="D2" s="1432"/>
      <c r="E2" s="1432"/>
      <c r="F2" s="1432"/>
      <c r="G2" s="1432"/>
      <c r="H2" s="1432"/>
      <c r="I2" s="1432"/>
      <c r="J2" s="1432"/>
      <c r="K2" s="1432"/>
      <c r="L2" s="1433"/>
      <c r="M2" s="398"/>
    </row>
    <row r="3" spans="1:13" ht="12.75" customHeight="1">
      <c r="A3" s="398"/>
      <c r="B3" s="401"/>
      <c r="C3" s="402"/>
      <c r="D3" s="402"/>
      <c r="E3" s="403"/>
      <c r="F3" s="403"/>
      <c r="G3" s="403"/>
      <c r="H3" s="403"/>
      <c r="I3" s="403"/>
      <c r="J3" s="403"/>
      <c r="K3" s="403"/>
      <c r="L3" s="404"/>
      <c r="M3" s="398"/>
    </row>
    <row r="4" spans="1:13" ht="12.75" customHeight="1">
      <c r="A4" s="398"/>
      <c r="B4" s="405" t="s">
        <v>118</v>
      </c>
      <c r="C4" s="1434">
        <v>2016</v>
      </c>
      <c r="D4" s="1435"/>
      <c r="E4" s="1436"/>
      <c r="F4" s="1434">
        <v>2015</v>
      </c>
      <c r="G4" s="1435"/>
      <c r="H4" s="1436"/>
      <c r="I4" s="1434" t="s">
        <v>452</v>
      </c>
      <c r="J4" s="1436"/>
      <c r="K4" s="1434" t="s">
        <v>453</v>
      </c>
      <c r="L4" s="1436"/>
      <c r="M4" s="398"/>
    </row>
    <row r="5" spans="1:13" ht="12.75" customHeight="1">
      <c r="A5" s="398"/>
      <c r="B5" s="406"/>
      <c r="C5" s="386" t="s">
        <v>119</v>
      </c>
      <c r="D5" s="387" t="s">
        <v>120</v>
      </c>
      <c r="E5" s="388" t="s">
        <v>11</v>
      </c>
      <c r="F5" s="386" t="s">
        <v>119</v>
      </c>
      <c r="G5" s="387" t="s">
        <v>120</v>
      </c>
      <c r="H5" s="388" t="s">
        <v>11</v>
      </c>
      <c r="I5" s="389" t="s">
        <v>119</v>
      </c>
      <c r="J5" s="390" t="s">
        <v>120</v>
      </c>
      <c r="K5" s="386" t="s">
        <v>119</v>
      </c>
      <c r="L5" s="407" t="s">
        <v>120</v>
      </c>
      <c r="M5" s="398"/>
    </row>
    <row r="6" spans="1:13" ht="12.75" customHeight="1">
      <c r="A6" s="398"/>
      <c r="B6" s="75" t="s">
        <v>121</v>
      </c>
      <c r="C6" s="408">
        <v>363398.93</v>
      </c>
      <c r="D6" s="408">
        <v>2485113.3</v>
      </c>
      <c r="E6" s="393">
        <f aca="true" t="shared" si="0" ref="E6:E13">(C6*1000)/D6</f>
        <v>146.23032680240374</v>
      </c>
      <c r="F6" s="408">
        <v>546288</v>
      </c>
      <c r="G6" s="408">
        <v>2724750</v>
      </c>
      <c r="H6" s="393">
        <f aca="true" t="shared" si="1" ref="H6:H18">(F6*1000)/G6</f>
        <v>200.49105422515828</v>
      </c>
      <c r="I6" s="391">
        <f>C6+SUM(F14:F18)</f>
        <v>2657344.43</v>
      </c>
      <c r="J6" s="391">
        <f>D6+SUM(G14:G18)</f>
        <v>17472914.1</v>
      </c>
      <c r="K6" s="391">
        <f>C6+SUM(F7:F18)-F13</f>
        <v>5372525.43</v>
      </c>
      <c r="L6" s="391">
        <f>D6+SUM(G7:G18)-G13</f>
        <v>33177597.43666666</v>
      </c>
      <c r="M6" s="514"/>
    </row>
    <row r="7" spans="1:13" ht="12.75" customHeight="1">
      <c r="A7" s="841"/>
      <c r="B7" s="76" t="s">
        <v>122</v>
      </c>
      <c r="C7" s="408">
        <v>396956.485</v>
      </c>
      <c r="D7" s="408">
        <v>2668755.58</v>
      </c>
      <c r="E7" s="419">
        <f t="shared" si="0"/>
        <v>148.74216581497507</v>
      </c>
      <c r="F7" s="408">
        <v>493482</v>
      </c>
      <c r="G7" s="408">
        <v>2513466.67</v>
      </c>
      <c r="H7" s="419">
        <f t="shared" si="1"/>
        <v>196.3352074209124</v>
      </c>
      <c r="I7" s="391">
        <f>SUM(C6:C7)+SUM(F15:F18)</f>
        <v>2630138.915</v>
      </c>
      <c r="J7" s="391">
        <f>SUM(D6+D7)+SUM(G15:G18)</f>
        <v>17471748.68</v>
      </c>
      <c r="K7" s="391">
        <f>SUM(C6+C7)+SUM(F8:F18)-F13</f>
        <v>5275999.914999999</v>
      </c>
      <c r="L7" s="391">
        <f>SUM(D6+D7)+SUM(G8:G18)-G13</f>
        <v>33332886.346666664</v>
      </c>
      <c r="M7" s="514"/>
    </row>
    <row r="8" spans="1:13" ht="12.75" customHeight="1">
      <c r="A8" s="398"/>
      <c r="B8" s="88" t="s">
        <v>123</v>
      </c>
      <c r="C8" s="408">
        <v>405948.702</v>
      </c>
      <c r="D8" s="408">
        <v>2775268.803</v>
      </c>
      <c r="E8" s="419">
        <f t="shared" si="0"/>
        <v>146.27365160491087</v>
      </c>
      <c r="F8" s="408">
        <v>519708</v>
      </c>
      <c r="G8" s="408">
        <v>2860383.3333333335</v>
      </c>
      <c r="H8" s="419">
        <f t="shared" si="1"/>
        <v>181.69173129475652</v>
      </c>
      <c r="I8" s="1153">
        <f>SUM(C6:C8)+SUM(F16:F18)</f>
        <v>2579159.9170000004</v>
      </c>
      <c r="J8" s="391">
        <f>SUM(D6:D8)+SUM(G16:G18)</f>
        <v>17328471.683</v>
      </c>
      <c r="K8" s="391">
        <f>SUM(C6:C8)+SUM(F9:F18)-F13</f>
        <v>5162240.617000001</v>
      </c>
      <c r="L8" s="409">
        <f>SUM(D6:D8)+SUM(G9:G18)-G13</f>
        <v>33247771.81633333</v>
      </c>
      <c r="M8" s="514"/>
    </row>
    <row r="9" spans="1:13" ht="12.75" customHeight="1">
      <c r="A9" s="398"/>
      <c r="B9" s="88" t="s">
        <v>124</v>
      </c>
      <c r="C9" s="391">
        <v>325534.9</v>
      </c>
      <c r="D9" s="391">
        <v>2232325.367</v>
      </c>
      <c r="E9" s="419">
        <f t="shared" si="0"/>
        <v>145.82771168231767</v>
      </c>
      <c r="F9" s="391">
        <v>468848</v>
      </c>
      <c r="G9" s="391">
        <v>2815050</v>
      </c>
      <c r="H9" s="419">
        <f>(F9*1000)/G9</f>
        <v>166.55050531962132</v>
      </c>
      <c r="I9" s="391">
        <f>SUM(C6:C9)+SUM(F17+F18)</f>
        <v>2403000.817</v>
      </c>
      <c r="J9" s="391">
        <f>SUM(D6:D9)+SUM(G17:G18)</f>
        <v>16254298.05</v>
      </c>
      <c r="K9" s="391">
        <f>SUM(C6:C9)+SUM(F10:F18)-F13</f>
        <v>5018927.517</v>
      </c>
      <c r="L9" s="409">
        <f>SUM(D6:D9)+SUM(G10:G18)-G13</f>
        <v>32665047.18333333</v>
      </c>
      <c r="M9" s="803"/>
    </row>
    <row r="10" spans="1:13" ht="12.75" customHeight="1">
      <c r="A10" s="398"/>
      <c r="B10" s="88" t="s">
        <v>125</v>
      </c>
      <c r="C10" s="391">
        <v>314619.176</v>
      </c>
      <c r="D10" s="391">
        <v>2167831.2</v>
      </c>
      <c r="E10" s="419">
        <f t="shared" si="0"/>
        <v>145.13084598099704</v>
      </c>
      <c r="F10" s="391">
        <v>434545</v>
      </c>
      <c r="G10" s="391">
        <v>2630416.6666666665</v>
      </c>
      <c r="H10" s="419">
        <f>(F10*1000)/G10</f>
        <v>165.20006336131792</v>
      </c>
      <c r="I10" s="391">
        <f>SUM(C6:C10)+F18</f>
        <v>2256298.993</v>
      </c>
      <c r="J10" s="391">
        <f>SUM(D6:D10)+G18</f>
        <v>15306028.25</v>
      </c>
      <c r="K10" s="391">
        <f>SUM(C6:C10)+SUM(F11:F18)-F13</f>
        <v>4899001.693</v>
      </c>
      <c r="L10" s="409">
        <f>SUM(D6:D10)+SUM(G11:G18)-G13</f>
        <v>32202461.71666666</v>
      </c>
      <c r="M10" s="803"/>
    </row>
    <row r="11" spans="1:13" ht="12.75" customHeight="1">
      <c r="A11" s="398"/>
      <c r="B11" s="88" t="s">
        <v>126</v>
      </c>
      <c r="C11" s="391">
        <v>303318.709</v>
      </c>
      <c r="D11" s="391">
        <v>2064339.7</v>
      </c>
      <c r="E11" s="419">
        <f t="shared" si="0"/>
        <v>146.93255620671346</v>
      </c>
      <c r="F11" s="391">
        <v>392821</v>
      </c>
      <c r="G11" s="391">
        <v>2386266.6666666665</v>
      </c>
      <c r="H11" s="419">
        <f>(F11*1000)/G11</f>
        <v>164.61739397664414</v>
      </c>
      <c r="I11" s="391">
        <f>SUM(C6:C11)</f>
        <v>2109776.902</v>
      </c>
      <c r="J11" s="391">
        <f>SUM(D6:D11)</f>
        <v>14393633.95</v>
      </c>
      <c r="K11" s="391">
        <f>SUM(C6:C11)+SUM(F14:F18)+F12</f>
        <v>4809499.402</v>
      </c>
      <c r="L11" s="409">
        <f>SUM(D6:D11)+SUM(G14:G18)+G12</f>
        <v>31880534.75</v>
      </c>
      <c r="M11" s="803"/>
    </row>
    <row r="12" spans="1:13" ht="12.75" customHeight="1">
      <c r="A12" s="398"/>
      <c r="B12" s="88" t="s">
        <v>128</v>
      </c>
      <c r="C12" s="391">
        <v>271397.773</v>
      </c>
      <c r="D12" s="391">
        <v>1737406.45</v>
      </c>
      <c r="E12" s="419">
        <f t="shared" si="0"/>
        <v>156.20856766129768</v>
      </c>
      <c r="F12" s="391">
        <v>405777</v>
      </c>
      <c r="G12" s="391">
        <v>2499100</v>
      </c>
      <c r="H12" s="419">
        <f>(F12*1000)/G12</f>
        <v>162.36925293105517</v>
      </c>
      <c r="I12" s="394">
        <f>SUM(C7:C12)</f>
        <v>2017775.7449999999</v>
      </c>
      <c r="J12" s="392">
        <f>SUM(D7:D12)</f>
        <v>13645927.099999998</v>
      </c>
      <c r="K12" s="392">
        <f>SUM(C6:C12)+SUM(F14:F18)</f>
        <v>4675120.175</v>
      </c>
      <c r="L12" s="410">
        <f>SUM(D6:D12)+SUM(G14:G18)</f>
        <v>31118841.2</v>
      </c>
      <c r="M12" s="514"/>
    </row>
    <row r="13" spans="1:13" ht="12.75" customHeight="1">
      <c r="A13" s="398"/>
      <c r="B13" s="744" t="s">
        <v>471</v>
      </c>
      <c r="C13" s="839">
        <f>SUM(C6:C12)</f>
        <v>2381174.675</v>
      </c>
      <c r="D13" s="839">
        <f>SUM(D6:D12)</f>
        <v>16131040.399999999</v>
      </c>
      <c r="E13" s="396">
        <f t="shared" si="0"/>
        <v>147.61445114228343</v>
      </c>
      <c r="F13" s="839">
        <f>SUM(F6:F12)</f>
        <v>3261469</v>
      </c>
      <c r="G13" s="839">
        <f>SUM(G6:G12)</f>
        <v>18429433.336666666</v>
      </c>
      <c r="H13" s="396">
        <f>(F13*1000)/G13</f>
        <v>176.97066103009666</v>
      </c>
      <c r="I13" s="391"/>
      <c r="J13" s="391"/>
      <c r="K13" s="391"/>
      <c r="L13" s="391"/>
      <c r="M13" s="514"/>
    </row>
    <row r="14" spans="1:13" ht="12.75" customHeight="1">
      <c r="A14" s="398"/>
      <c r="B14" s="88" t="s">
        <v>129</v>
      </c>
      <c r="C14" s="408"/>
      <c r="D14" s="408"/>
      <c r="E14" s="419"/>
      <c r="F14" s="408">
        <v>424162</v>
      </c>
      <c r="G14" s="408">
        <v>2669921</v>
      </c>
      <c r="H14" s="419">
        <f t="shared" si="1"/>
        <v>158.86687284005782</v>
      </c>
      <c r="I14" s="391"/>
      <c r="J14" s="391"/>
      <c r="K14" s="391"/>
      <c r="L14" s="391"/>
      <c r="M14" s="514"/>
    </row>
    <row r="15" spans="1:13" ht="12.75" customHeight="1">
      <c r="A15" s="398"/>
      <c r="B15" s="88" t="s">
        <v>130</v>
      </c>
      <c r="C15" s="391"/>
      <c r="D15" s="391"/>
      <c r="E15" s="419"/>
      <c r="F15" s="391">
        <v>456927.7</v>
      </c>
      <c r="G15" s="391">
        <v>2918545.8</v>
      </c>
      <c r="H15" s="419">
        <f t="shared" si="1"/>
        <v>156.5600580946854</v>
      </c>
      <c r="I15" s="391"/>
      <c r="J15" s="391"/>
      <c r="K15" s="391"/>
      <c r="L15" s="391"/>
      <c r="M15" s="514"/>
    </row>
    <row r="16" spans="1:13" ht="12.75" customHeight="1">
      <c r="A16" s="398"/>
      <c r="B16" s="88" t="s">
        <v>131</v>
      </c>
      <c r="C16" s="391"/>
      <c r="D16" s="391"/>
      <c r="E16" s="419"/>
      <c r="F16" s="391">
        <v>501694</v>
      </c>
      <c r="G16" s="391">
        <v>3306499</v>
      </c>
      <c r="H16" s="419">
        <f t="shared" si="1"/>
        <v>151.72966935722647</v>
      </c>
      <c r="I16" s="391"/>
      <c r="J16" s="391"/>
      <c r="K16" s="391"/>
      <c r="L16" s="391"/>
      <c r="M16" s="515"/>
    </row>
    <row r="17" spans="1:13" ht="12.75" customHeight="1">
      <c r="A17" s="398"/>
      <c r="B17" s="88" t="s">
        <v>132</v>
      </c>
      <c r="C17" s="391"/>
      <c r="D17" s="391"/>
      <c r="E17" s="419"/>
      <c r="F17" s="391">
        <v>461321</v>
      </c>
      <c r="G17" s="391">
        <v>3116101</v>
      </c>
      <c r="H17" s="419">
        <f t="shared" si="1"/>
        <v>148.04430280019807</v>
      </c>
      <c r="I17" s="391"/>
      <c r="J17" s="391"/>
      <c r="K17" s="391"/>
      <c r="L17" s="409"/>
      <c r="M17" s="732"/>
    </row>
    <row r="18" spans="1:13" ht="12.75" customHeight="1">
      <c r="A18" s="398"/>
      <c r="B18" s="88" t="s">
        <v>133</v>
      </c>
      <c r="C18" s="394"/>
      <c r="D18" s="392"/>
      <c r="E18" s="395"/>
      <c r="F18" s="394">
        <v>449840.8</v>
      </c>
      <c r="G18" s="392">
        <v>2976734</v>
      </c>
      <c r="H18" s="395">
        <f t="shared" si="1"/>
        <v>151.1189108600231</v>
      </c>
      <c r="I18" s="394"/>
      <c r="J18" s="392"/>
      <c r="K18" s="392"/>
      <c r="L18" s="410"/>
      <c r="M18" s="398"/>
    </row>
    <row r="19" spans="1:13" ht="12.75" customHeight="1">
      <c r="A19" s="398"/>
      <c r="B19" s="411" t="s">
        <v>115</v>
      </c>
      <c r="C19" s="394">
        <f>C13</f>
        <v>2381174.675</v>
      </c>
      <c r="D19" s="768">
        <f>D13</f>
        <v>16131040.399999999</v>
      </c>
      <c r="E19" s="396">
        <f>(C19*1000)/D19</f>
        <v>147.61445114228343</v>
      </c>
      <c r="F19" s="394">
        <f>SUM(F6:F18)-F13</f>
        <v>5555414.5</v>
      </c>
      <c r="G19" s="768">
        <f>SUM(G6:G18)-G13</f>
        <v>33417234.136666663</v>
      </c>
      <c r="H19" s="395">
        <f>(F19*1000)/G19</f>
        <v>166.243994858461</v>
      </c>
      <c r="I19" s="289"/>
      <c r="J19" s="289"/>
      <c r="K19" s="289"/>
      <c r="L19" s="412"/>
      <c r="M19" s="398"/>
    </row>
    <row r="20" spans="1:13" ht="12" customHeight="1">
      <c r="A20" s="398"/>
      <c r="B20" s="413" t="s">
        <v>116</v>
      </c>
      <c r="C20" s="414"/>
      <c r="D20" s="414"/>
      <c r="E20" s="133"/>
      <c r="F20" s="397" t="s">
        <v>142</v>
      </c>
      <c r="G20" s="415"/>
      <c r="H20" s="133"/>
      <c r="I20" s="133"/>
      <c r="J20" s="397" t="s">
        <v>135</v>
      </c>
      <c r="K20" s="133"/>
      <c r="L20" s="76"/>
      <c r="M20" s="398"/>
    </row>
    <row r="21" spans="1:13" ht="12" customHeight="1">
      <c r="A21" s="398"/>
      <c r="B21" s="413" t="s">
        <v>320</v>
      </c>
      <c r="C21" s="414"/>
      <c r="D21" s="414"/>
      <c r="E21" s="133"/>
      <c r="F21" s="397" t="s">
        <v>134</v>
      </c>
      <c r="G21" s="415"/>
      <c r="H21" s="133"/>
      <c r="I21" s="133"/>
      <c r="J21" s="397" t="s">
        <v>136</v>
      </c>
      <c r="K21" s="133"/>
      <c r="L21" s="76"/>
      <c r="M21" s="398"/>
    </row>
    <row r="22" spans="1:13" ht="15" customHeight="1">
      <c r="A22" s="398"/>
      <c r="B22" s="413"/>
      <c r="C22" s="414"/>
      <c r="D22" s="414"/>
      <c r="E22" s="133"/>
      <c r="F22" s="397"/>
      <c r="G22" s="415"/>
      <c r="H22" s="133"/>
      <c r="I22" s="133"/>
      <c r="J22" s="397"/>
      <c r="K22" s="133"/>
      <c r="L22" s="76"/>
      <c r="M22" s="398"/>
    </row>
    <row r="23" spans="1:13" ht="15" customHeight="1">
      <c r="A23" s="398"/>
      <c r="B23" s="413"/>
      <c r="C23" s="414"/>
      <c r="D23" s="414"/>
      <c r="E23" s="133"/>
      <c r="F23" s="397"/>
      <c r="G23" s="415"/>
      <c r="H23" s="133"/>
      <c r="I23" s="133"/>
      <c r="J23" s="397"/>
      <c r="K23" s="133"/>
      <c r="L23" s="76"/>
      <c r="M23" s="398"/>
    </row>
    <row r="24" spans="1:13" ht="15" customHeight="1">
      <c r="A24" s="398"/>
      <c r="B24" s="140"/>
      <c r="C24" s="414"/>
      <c r="D24" s="414"/>
      <c r="E24" s="133"/>
      <c r="F24" s="415"/>
      <c r="G24" s="415"/>
      <c r="H24" s="133"/>
      <c r="I24" s="133"/>
      <c r="J24" s="133"/>
      <c r="K24" s="133"/>
      <c r="L24" s="76"/>
      <c r="M24" s="398"/>
    </row>
    <row r="25" spans="1:13" ht="15" customHeight="1">
      <c r="A25" s="398"/>
      <c r="B25" s="416"/>
      <c r="C25" s="414"/>
      <c r="D25" s="414"/>
      <c r="E25" s="141"/>
      <c r="F25" s="141"/>
      <c r="G25" s="141"/>
      <c r="H25" s="141"/>
      <c r="I25" s="141"/>
      <c r="J25" s="141"/>
      <c r="K25" s="141"/>
      <c r="L25" s="142"/>
      <c r="M25" s="398"/>
    </row>
    <row r="26" spans="1:13" ht="15" customHeight="1">
      <c r="A26" s="398"/>
      <c r="B26" s="138"/>
      <c r="C26" s="133"/>
      <c r="D26" s="133"/>
      <c r="E26" s="133"/>
      <c r="F26" s="133"/>
      <c r="G26" s="133"/>
      <c r="H26" s="133"/>
      <c r="I26" s="133"/>
      <c r="J26" s="133"/>
      <c r="K26" s="133"/>
      <c r="L26" s="76"/>
      <c r="M26" s="398"/>
    </row>
    <row r="27" spans="1:13" ht="15" customHeight="1">
      <c r="A27" s="398"/>
      <c r="B27" s="138"/>
      <c r="C27" s="133"/>
      <c r="D27" s="133"/>
      <c r="E27" s="133"/>
      <c r="F27" s="133"/>
      <c r="G27" s="133"/>
      <c r="H27" s="133"/>
      <c r="I27" s="133"/>
      <c r="J27" s="133"/>
      <c r="K27" s="133"/>
      <c r="L27" s="76"/>
      <c r="M27" s="398"/>
    </row>
    <row r="28" spans="1:13" ht="15" customHeight="1">
      <c r="A28" s="398"/>
      <c r="B28" s="138"/>
      <c r="C28" s="133"/>
      <c r="D28" s="133"/>
      <c r="E28" s="133"/>
      <c r="F28" s="133"/>
      <c r="G28" s="133"/>
      <c r="H28" s="133"/>
      <c r="I28" s="133"/>
      <c r="J28" s="133"/>
      <c r="K28" s="133"/>
      <c r="L28" s="76"/>
      <c r="M28" s="398"/>
    </row>
    <row r="29" spans="1:13" ht="15" customHeight="1">
      <c r="A29" s="398"/>
      <c r="B29" s="138"/>
      <c r="C29" s="133"/>
      <c r="D29" s="133"/>
      <c r="E29" s="133"/>
      <c r="F29" s="133"/>
      <c r="G29" s="133"/>
      <c r="H29" s="133"/>
      <c r="I29" s="133"/>
      <c r="J29" s="133"/>
      <c r="K29" s="133"/>
      <c r="L29" s="76"/>
      <c r="M29" s="398"/>
    </row>
    <row r="30" spans="1:13" ht="15" customHeight="1">
      <c r="A30" s="398"/>
      <c r="B30" s="138"/>
      <c r="C30" s="133"/>
      <c r="D30" s="133"/>
      <c r="E30" s="133"/>
      <c r="F30" s="133"/>
      <c r="G30" s="133"/>
      <c r="H30" s="133"/>
      <c r="I30" s="133"/>
      <c r="J30" s="133"/>
      <c r="K30" s="133"/>
      <c r="L30" s="76"/>
      <c r="M30" s="398"/>
    </row>
    <row r="31" spans="1:13" ht="15" customHeight="1">
      <c r="A31" s="398"/>
      <c r="B31" s="138"/>
      <c r="C31" s="133"/>
      <c r="D31" s="133"/>
      <c r="E31" s="133"/>
      <c r="F31" s="133"/>
      <c r="G31" s="133"/>
      <c r="H31" s="133"/>
      <c r="I31" s="133"/>
      <c r="J31" s="133"/>
      <c r="K31" s="133"/>
      <c r="L31" s="76"/>
      <c r="M31" s="398"/>
    </row>
    <row r="32" spans="1:13" ht="15" customHeight="1">
      <c r="A32" s="398"/>
      <c r="B32" s="138"/>
      <c r="C32" s="133"/>
      <c r="D32" s="133"/>
      <c r="E32" s="133"/>
      <c r="F32" s="133"/>
      <c r="G32" s="133"/>
      <c r="H32" s="133"/>
      <c r="I32" s="133"/>
      <c r="J32" s="133"/>
      <c r="K32" s="133"/>
      <c r="L32" s="76"/>
      <c r="M32" s="398"/>
    </row>
    <row r="33" spans="1:13" ht="15" customHeight="1">
      <c r="A33" s="398"/>
      <c r="B33" s="417"/>
      <c r="C33" s="112"/>
      <c r="D33" s="112"/>
      <c r="E33" s="112"/>
      <c r="F33" s="112"/>
      <c r="G33" s="112"/>
      <c r="H33" s="112"/>
      <c r="I33" s="112"/>
      <c r="J33" s="112"/>
      <c r="K33" s="112"/>
      <c r="L33" s="418"/>
      <c r="M33" s="398"/>
    </row>
    <row r="34" spans="1:13" ht="15" customHeight="1">
      <c r="A34" s="398"/>
      <c r="B34" s="400"/>
      <c r="C34" s="400"/>
      <c r="D34" s="400"/>
      <c r="E34" s="400"/>
      <c r="F34" s="400"/>
      <c r="G34" s="400"/>
      <c r="H34" s="400"/>
      <c r="I34" s="400"/>
      <c r="J34" s="400"/>
      <c r="K34" s="400"/>
      <c r="L34" s="400"/>
      <c r="M34" s="398"/>
    </row>
    <row r="35" spans="2:12" ht="14.25">
      <c r="B35" s="3"/>
      <c r="C35" s="3"/>
      <c r="D35" s="3"/>
      <c r="E35" s="3"/>
      <c r="F35" s="3"/>
      <c r="G35" s="3"/>
      <c r="H35" s="3"/>
      <c r="I35" s="3"/>
      <c r="J35" s="3"/>
      <c r="K35" s="3"/>
      <c r="L35" s="3"/>
    </row>
    <row r="36" spans="2:12" ht="14.25">
      <c r="B36" s="3"/>
      <c r="C36" s="3"/>
      <c r="D36" s="3"/>
      <c r="E36" s="3"/>
      <c r="F36" s="3"/>
      <c r="G36" s="3"/>
      <c r="H36" s="3"/>
      <c r="I36" s="3"/>
      <c r="J36" s="3"/>
      <c r="K36" s="3"/>
      <c r="L36" s="3"/>
    </row>
    <row r="37" spans="2:12" ht="14.25">
      <c r="B37" s="3"/>
      <c r="C37" s="3"/>
      <c r="D37" s="3"/>
      <c r="E37" s="3"/>
      <c r="F37" s="3"/>
      <c r="G37" s="3"/>
      <c r="H37" s="3"/>
      <c r="I37" s="3"/>
      <c r="J37" s="3"/>
      <c r="K37" s="3"/>
      <c r="L37" s="3"/>
    </row>
    <row r="38" spans="2:12" ht="14.25">
      <c r="B38" s="3"/>
      <c r="C38" s="3"/>
      <c r="D38" s="3"/>
      <c r="E38" s="3"/>
      <c r="F38" s="3"/>
      <c r="G38" s="3"/>
      <c r="H38" s="3"/>
      <c r="I38" s="3"/>
      <c r="J38" s="3"/>
      <c r="K38" s="3"/>
      <c r="L38" s="3"/>
    </row>
    <row r="39" spans="2:12" ht="14.25">
      <c r="B39" s="3"/>
      <c r="C39" s="3"/>
      <c r="D39" s="3"/>
      <c r="E39" s="3"/>
      <c r="F39" s="3"/>
      <c r="G39" s="3"/>
      <c r="H39" s="3"/>
      <c r="I39" s="3"/>
      <c r="J39" s="3"/>
      <c r="K39" s="3"/>
      <c r="L39" s="3"/>
    </row>
    <row r="40" spans="2:12" ht="14.25">
      <c r="B40" s="3"/>
      <c r="C40" s="3"/>
      <c r="D40" s="3"/>
      <c r="E40" s="3"/>
      <c r="F40" s="3"/>
      <c r="G40" s="3"/>
      <c r="H40" s="3"/>
      <c r="I40" s="3"/>
      <c r="J40" s="3"/>
      <c r="K40" s="3"/>
      <c r="L40" s="3"/>
    </row>
    <row r="41" spans="2:12" ht="14.25">
      <c r="B41" s="3"/>
      <c r="C41" s="3"/>
      <c r="D41" s="3"/>
      <c r="E41" s="3"/>
      <c r="F41" s="3"/>
      <c r="G41" s="3"/>
      <c r="H41" s="3"/>
      <c r="I41" s="3"/>
      <c r="J41" s="3"/>
      <c r="K41" s="3"/>
      <c r="L41" s="3"/>
    </row>
    <row r="42" spans="2:12" ht="14.25">
      <c r="B42" s="3"/>
      <c r="C42" s="3"/>
      <c r="D42" s="3"/>
      <c r="E42" s="3"/>
      <c r="F42" s="3"/>
      <c r="G42" s="3"/>
      <c r="H42" s="3"/>
      <c r="I42" s="3"/>
      <c r="J42" s="3"/>
      <c r="K42" s="3"/>
      <c r="L42" s="3"/>
    </row>
    <row r="43" spans="2:12" ht="14.25">
      <c r="B43" s="3"/>
      <c r="C43" s="3"/>
      <c r="D43" s="3"/>
      <c r="E43" s="3"/>
      <c r="F43" s="3"/>
      <c r="G43" s="3"/>
      <c r="H43" s="3"/>
      <c r="I43" s="3"/>
      <c r="J43" s="3"/>
      <c r="K43" s="3"/>
      <c r="L43" s="3"/>
    </row>
    <row r="44" spans="2:12" ht="14.25">
      <c r="B44" s="3"/>
      <c r="C44" s="3"/>
      <c r="D44" s="3"/>
      <c r="E44" s="3"/>
      <c r="F44" s="3"/>
      <c r="G44" s="3"/>
      <c r="H44" s="3"/>
      <c r="I44" s="3"/>
      <c r="J44" s="3"/>
      <c r="K44" s="3"/>
      <c r="L44" s="3"/>
    </row>
    <row r="45" spans="2:12" ht="14.25">
      <c r="B45" s="3"/>
      <c r="C45" s="3"/>
      <c r="D45" s="3"/>
      <c r="E45" s="3"/>
      <c r="F45" s="3"/>
      <c r="G45" s="3"/>
      <c r="H45" s="3"/>
      <c r="I45" s="3"/>
      <c r="J45" s="3"/>
      <c r="K45" s="3"/>
      <c r="L45" s="3"/>
    </row>
    <row r="46" spans="2:12" ht="14.25">
      <c r="B46" s="3"/>
      <c r="C46" s="3"/>
      <c r="D46" s="3"/>
      <c r="E46" s="3"/>
      <c r="F46" s="3"/>
      <c r="G46" s="3"/>
      <c r="H46" s="3"/>
      <c r="I46" s="3"/>
      <c r="J46" s="3"/>
      <c r="K46" s="3"/>
      <c r="L46" s="3"/>
    </row>
    <row r="47" spans="2:12" ht="14.25">
      <c r="B47" s="3"/>
      <c r="C47" s="3"/>
      <c r="D47" s="3"/>
      <c r="E47" s="3"/>
      <c r="F47" s="3"/>
      <c r="G47" s="3"/>
      <c r="H47" s="3"/>
      <c r="I47" s="3"/>
      <c r="J47" s="3"/>
      <c r="K47" s="3"/>
      <c r="L47" s="3"/>
    </row>
    <row r="48" spans="2:12" ht="14.25">
      <c r="B48" s="3"/>
      <c r="C48" s="3"/>
      <c r="D48" s="3"/>
      <c r="E48" s="3"/>
      <c r="F48" s="3"/>
      <c r="G48" s="3"/>
      <c r="H48" s="3"/>
      <c r="I48" s="3"/>
      <c r="J48" s="3"/>
      <c r="K48" s="3"/>
      <c r="L48" s="3"/>
    </row>
    <row r="49" spans="2:12" ht="14.25">
      <c r="B49" s="3"/>
      <c r="C49" s="3"/>
      <c r="D49" s="3"/>
      <c r="E49" s="3"/>
      <c r="F49" s="3"/>
      <c r="G49" s="3"/>
      <c r="H49" s="3"/>
      <c r="I49" s="3"/>
      <c r="J49" s="3"/>
      <c r="K49" s="3"/>
      <c r="L49" s="3"/>
    </row>
    <row r="50" spans="2:12" ht="14.25">
      <c r="B50" s="3"/>
      <c r="C50" s="3"/>
      <c r="D50" s="3"/>
      <c r="E50" s="3"/>
      <c r="F50" s="3"/>
      <c r="G50" s="3"/>
      <c r="H50" s="3"/>
      <c r="I50" s="3"/>
      <c r="J50" s="3"/>
      <c r="K50" s="3"/>
      <c r="L50" s="3"/>
    </row>
    <row r="51" spans="2:12" ht="14.25">
      <c r="B51" s="3"/>
      <c r="C51" s="3"/>
      <c r="D51" s="3"/>
      <c r="E51" s="3"/>
      <c r="F51" s="3"/>
      <c r="G51" s="3"/>
      <c r="H51" s="3"/>
      <c r="I51" s="3"/>
      <c r="J51" s="3"/>
      <c r="K51" s="3"/>
      <c r="L51" s="3"/>
    </row>
    <row r="52" spans="2:12" ht="14.25">
      <c r="B52" s="3"/>
      <c r="C52" s="3"/>
      <c r="D52" s="3"/>
      <c r="E52" s="3"/>
      <c r="F52" s="3"/>
      <c r="G52" s="3"/>
      <c r="H52" s="3"/>
      <c r="I52" s="3"/>
      <c r="J52" s="3"/>
      <c r="K52" s="3"/>
      <c r="L52" s="3"/>
    </row>
    <row r="53" spans="2:12" ht="14.25">
      <c r="B53" s="3"/>
      <c r="C53" s="3"/>
      <c r="D53" s="3"/>
      <c r="E53" s="3"/>
      <c r="F53" s="3"/>
      <c r="G53" s="3"/>
      <c r="H53" s="3"/>
      <c r="I53" s="3"/>
      <c r="J53" s="3"/>
      <c r="K53" s="3"/>
      <c r="L53" s="3"/>
    </row>
    <row r="54" spans="2:12" ht="14.25">
      <c r="B54" s="3"/>
      <c r="C54" s="3"/>
      <c r="D54" s="3"/>
      <c r="E54" s="3"/>
      <c r="F54" s="3"/>
      <c r="G54" s="3"/>
      <c r="H54" s="3"/>
      <c r="I54" s="3"/>
      <c r="J54" s="3"/>
      <c r="K54" s="3"/>
      <c r="L54" s="3"/>
    </row>
    <row r="55" spans="2:12" ht="14.25">
      <c r="B55" s="3"/>
      <c r="C55" s="3"/>
      <c r="D55" s="3"/>
      <c r="E55" s="3"/>
      <c r="F55" s="3"/>
      <c r="G55" s="3"/>
      <c r="H55" s="3"/>
      <c r="I55" s="3"/>
      <c r="J55" s="3"/>
      <c r="K55" s="3"/>
      <c r="L55" s="3"/>
    </row>
    <row r="56" spans="2:12" ht="14.25">
      <c r="B56" s="3"/>
      <c r="C56" s="3"/>
      <c r="D56" s="3"/>
      <c r="E56" s="3"/>
      <c r="F56" s="3"/>
      <c r="G56" s="3"/>
      <c r="H56" s="3"/>
      <c r="I56" s="3"/>
      <c r="J56" s="3"/>
      <c r="K56" s="3"/>
      <c r="L56" s="3"/>
    </row>
    <row r="57" spans="2:12" ht="14.25">
      <c r="B57" s="3"/>
      <c r="C57" s="3"/>
      <c r="D57" s="3"/>
      <c r="E57" s="3"/>
      <c r="F57" s="3"/>
      <c r="G57" s="3"/>
      <c r="H57" s="3"/>
      <c r="I57" s="3"/>
      <c r="J57" s="3"/>
      <c r="K57" s="3"/>
      <c r="L57" s="3"/>
    </row>
    <row r="58" spans="2:12" ht="14.25">
      <c r="B58" s="3"/>
      <c r="C58" s="3"/>
      <c r="D58" s="3"/>
      <c r="E58" s="3"/>
      <c r="F58" s="3"/>
      <c r="G58" s="3"/>
      <c r="H58" s="3"/>
      <c r="I58" s="3"/>
      <c r="J58" s="3"/>
      <c r="K58" s="3"/>
      <c r="L58" s="3"/>
    </row>
    <row r="59" spans="2:12" ht="14.25">
      <c r="B59" s="3"/>
      <c r="C59" s="3"/>
      <c r="D59" s="3"/>
      <c r="E59" s="3"/>
      <c r="F59" s="3"/>
      <c r="G59" s="3"/>
      <c r="H59" s="3"/>
      <c r="I59" s="3"/>
      <c r="J59" s="3"/>
      <c r="K59" s="3"/>
      <c r="L59" s="3"/>
    </row>
    <row r="60" spans="2:12" ht="14.25">
      <c r="B60" s="3"/>
      <c r="C60" s="3"/>
      <c r="D60" s="3"/>
      <c r="E60" s="3"/>
      <c r="F60" s="3"/>
      <c r="G60" s="3"/>
      <c r="H60" s="3"/>
      <c r="I60" s="3"/>
      <c r="J60" s="3"/>
      <c r="K60" s="3"/>
      <c r="L60" s="3"/>
    </row>
    <row r="61" spans="2:12" ht="14.25">
      <c r="B61" s="3"/>
      <c r="C61" s="3"/>
      <c r="D61" s="3"/>
      <c r="E61" s="3"/>
      <c r="F61" s="3"/>
      <c r="G61" s="3"/>
      <c r="H61" s="3"/>
      <c r="I61" s="3"/>
      <c r="J61" s="3"/>
      <c r="K61" s="3"/>
      <c r="L61" s="3"/>
    </row>
    <row r="62" spans="2:12" ht="14.25">
      <c r="B62" s="3"/>
      <c r="C62" s="3"/>
      <c r="D62" s="3"/>
      <c r="E62" s="3"/>
      <c r="F62" s="3"/>
      <c r="G62" s="3"/>
      <c r="H62" s="3"/>
      <c r="I62" s="3"/>
      <c r="J62" s="3"/>
      <c r="K62" s="3"/>
      <c r="L62" s="3"/>
    </row>
    <row r="63" spans="2:12" ht="14.25">
      <c r="B63" s="3"/>
      <c r="C63" s="3"/>
      <c r="D63" s="3"/>
      <c r="E63" s="3"/>
      <c r="F63" s="3"/>
      <c r="G63" s="3"/>
      <c r="H63" s="3"/>
      <c r="I63" s="3"/>
      <c r="J63" s="3"/>
      <c r="K63" s="3"/>
      <c r="L63" s="3"/>
    </row>
    <row r="64" spans="2:12" ht="14.25">
      <c r="B64" s="3"/>
      <c r="C64" s="3"/>
      <c r="D64" s="3"/>
      <c r="E64" s="3"/>
      <c r="F64" s="3"/>
      <c r="G64" s="3"/>
      <c r="H64" s="3"/>
      <c r="I64" s="3"/>
      <c r="J64" s="3"/>
      <c r="K64" s="3"/>
      <c r="L64" s="3"/>
    </row>
    <row r="65" spans="2:12" ht="14.25">
      <c r="B65" s="3"/>
      <c r="C65" s="3"/>
      <c r="D65" s="3"/>
      <c r="E65" s="3"/>
      <c r="F65" s="3"/>
      <c r="G65" s="3"/>
      <c r="H65" s="3"/>
      <c r="I65" s="3"/>
      <c r="J65" s="3"/>
      <c r="K65" s="3"/>
      <c r="L65" s="3"/>
    </row>
    <row r="66" spans="2:12" ht="14.25">
      <c r="B66" s="3"/>
      <c r="C66" s="3"/>
      <c r="D66" s="3"/>
      <c r="E66" s="3"/>
      <c r="F66" s="3"/>
      <c r="G66" s="3"/>
      <c r="H66" s="3"/>
      <c r="I66" s="3"/>
      <c r="J66" s="3"/>
      <c r="K66" s="3"/>
      <c r="L66" s="3"/>
    </row>
    <row r="67" spans="2:12" ht="14.25">
      <c r="B67" s="3"/>
      <c r="C67" s="3"/>
      <c r="D67" s="3"/>
      <c r="E67" s="3"/>
      <c r="F67" s="3"/>
      <c r="G67" s="3"/>
      <c r="H67" s="3"/>
      <c r="I67" s="3"/>
      <c r="J67" s="3"/>
      <c r="K67" s="3"/>
      <c r="L67" s="3"/>
    </row>
    <row r="68" spans="2:12" ht="14.25">
      <c r="B68" s="3"/>
      <c r="C68" s="3"/>
      <c r="D68" s="3"/>
      <c r="E68" s="3"/>
      <c r="F68" s="3"/>
      <c r="G68" s="3"/>
      <c r="H68" s="3"/>
      <c r="I68" s="3"/>
      <c r="J68" s="3"/>
      <c r="K68" s="3"/>
      <c r="L68" s="3"/>
    </row>
    <row r="69" spans="2:12" ht="14.25">
      <c r="B69" s="3"/>
      <c r="C69" s="3"/>
      <c r="D69" s="3"/>
      <c r="E69" s="3"/>
      <c r="F69" s="3"/>
      <c r="G69" s="3"/>
      <c r="H69" s="3"/>
      <c r="I69" s="3"/>
      <c r="J69" s="3"/>
      <c r="K69" s="3"/>
      <c r="L69" s="3"/>
    </row>
    <row r="70" spans="2:12" ht="14.25">
      <c r="B70" s="3"/>
      <c r="C70" s="3"/>
      <c r="D70" s="3"/>
      <c r="E70" s="3"/>
      <c r="F70" s="3"/>
      <c r="G70" s="3"/>
      <c r="H70" s="3"/>
      <c r="I70" s="3"/>
      <c r="J70" s="3"/>
      <c r="K70" s="3"/>
      <c r="L70" s="3"/>
    </row>
    <row r="71" spans="2:12" ht="14.25">
      <c r="B71" s="3"/>
      <c r="C71" s="3"/>
      <c r="D71" s="3"/>
      <c r="E71" s="3"/>
      <c r="F71" s="3"/>
      <c r="G71" s="3"/>
      <c r="H71" s="3"/>
      <c r="I71" s="3"/>
      <c r="J71" s="3"/>
      <c r="K71" s="3"/>
      <c r="L71" s="3"/>
    </row>
    <row r="72" spans="2:12" ht="14.25">
      <c r="B72" s="3"/>
      <c r="C72" s="3"/>
      <c r="D72" s="3"/>
      <c r="E72" s="3"/>
      <c r="F72" s="3"/>
      <c r="G72" s="3"/>
      <c r="H72" s="3"/>
      <c r="I72" s="3"/>
      <c r="J72" s="3"/>
      <c r="K72" s="3"/>
      <c r="L72" s="3"/>
    </row>
    <row r="73" spans="2:12" ht="14.25">
      <c r="B73" s="3"/>
      <c r="C73" s="3"/>
      <c r="D73" s="3"/>
      <c r="E73" s="3"/>
      <c r="F73" s="3"/>
      <c r="G73" s="3"/>
      <c r="H73" s="3"/>
      <c r="I73" s="3"/>
      <c r="J73" s="3"/>
      <c r="K73" s="3"/>
      <c r="L73" s="3"/>
    </row>
    <row r="74" spans="2:12" ht="14.25">
      <c r="B74" s="3"/>
      <c r="C74" s="3"/>
      <c r="D74" s="3"/>
      <c r="E74" s="3"/>
      <c r="F74" s="3"/>
      <c r="G74" s="3"/>
      <c r="H74" s="3"/>
      <c r="I74" s="3"/>
      <c r="J74" s="3"/>
      <c r="K74" s="3"/>
      <c r="L74" s="3"/>
    </row>
    <row r="75" spans="2:12" ht="14.25">
      <c r="B75" s="3"/>
      <c r="C75" s="3"/>
      <c r="D75" s="3"/>
      <c r="E75" s="3"/>
      <c r="F75" s="3"/>
      <c r="G75" s="3"/>
      <c r="H75" s="3"/>
      <c r="I75" s="3"/>
      <c r="J75" s="3"/>
      <c r="K75" s="3"/>
      <c r="L75" s="3"/>
    </row>
    <row r="76" spans="2:12" ht="14.25">
      <c r="B76" s="3"/>
      <c r="C76" s="3"/>
      <c r="D76" s="3"/>
      <c r="E76" s="3"/>
      <c r="F76" s="3"/>
      <c r="G76" s="3"/>
      <c r="H76" s="3"/>
      <c r="I76" s="3"/>
      <c r="J76" s="3"/>
      <c r="K76" s="3"/>
      <c r="L76" s="3"/>
    </row>
    <row r="77" spans="2:12" ht="14.25">
      <c r="B77" s="3"/>
      <c r="C77" s="3"/>
      <c r="D77" s="3"/>
      <c r="E77" s="3"/>
      <c r="F77" s="3"/>
      <c r="G77" s="3"/>
      <c r="H77" s="3"/>
      <c r="I77" s="3"/>
      <c r="J77" s="3"/>
      <c r="K77" s="3"/>
      <c r="L77" s="3"/>
    </row>
    <row r="78" spans="2:12" ht="14.25">
      <c r="B78" s="3"/>
      <c r="C78" s="3"/>
      <c r="D78" s="3"/>
      <c r="E78" s="3"/>
      <c r="F78" s="3"/>
      <c r="G78" s="3"/>
      <c r="H78" s="3"/>
      <c r="I78" s="3"/>
      <c r="J78" s="3"/>
      <c r="K78" s="3"/>
      <c r="L78" s="3"/>
    </row>
    <row r="79" spans="2:12" ht="14.25">
      <c r="B79" s="3"/>
      <c r="C79" s="3"/>
      <c r="D79" s="3"/>
      <c r="E79" s="3"/>
      <c r="F79" s="3"/>
      <c r="G79" s="3"/>
      <c r="H79" s="3"/>
      <c r="I79" s="3"/>
      <c r="J79" s="3"/>
      <c r="K79" s="3"/>
      <c r="L79" s="3"/>
    </row>
    <row r="80" spans="2:12" ht="14.25">
      <c r="B80" s="3"/>
      <c r="C80" s="3"/>
      <c r="D80" s="3"/>
      <c r="E80" s="3"/>
      <c r="F80" s="3"/>
      <c r="G80" s="3"/>
      <c r="H80" s="3"/>
      <c r="I80" s="3"/>
      <c r="J80" s="3"/>
      <c r="K80" s="3"/>
      <c r="L80" s="3"/>
    </row>
    <row r="81" spans="2:12" ht="14.25">
      <c r="B81" s="3"/>
      <c r="C81" s="3"/>
      <c r="D81" s="3"/>
      <c r="E81" s="3"/>
      <c r="F81" s="3"/>
      <c r="G81" s="3"/>
      <c r="H81" s="3"/>
      <c r="I81" s="3"/>
      <c r="J81" s="3"/>
      <c r="K81" s="3"/>
      <c r="L81" s="3"/>
    </row>
    <row r="82" spans="2:12" ht="14.25">
      <c r="B82" s="3"/>
      <c r="C82" s="3"/>
      <c r="D82" s="3"/>
      <c r="E82" s="3"/>
      <c r="F82" s="3"/>
      <c r="G82" s="3"/>
      <c r="H82" s="3"/>
      <c r="I82" s="3"/>
      <c r="J82" s="3"/>
      <c r="K82" s="3"/>
      <c r="L82" s="3"/>
    </row>
    <row r="83" spans="2:12" ht="14.25">
      <c r="B83" s="3"/>
      <c r="C83" s="3"/>
      <c r="D83" s="3"/>
      <c r="E83" s="3"/>
      <c r="F83" s="3"/>
      <c r="G83" s="3"/>
      <c r="H83" s="3"/>
      <c r="I83" s="3"/>
      <c r="J83" s="3"/>
      <c r="K83" s="3"/>
      <c r="L83" s="3"/>
    </row>
    <row r="84" spans="2:12" ht="14.25">
      <c r="B84" s="3"/>
      <c r="C84" s="3"/>
      <c r="D84" s="3"/>
      <c r="E84" s="3"/>
      <c r="F84" s="3"/>
      <c r="G84" s="3"/>
      <c r="H84" s="3"/>
      <c r="I84" s="3"/>
      <c r="J84" s="3"/>
      <c r="K84" s="3"/>
      <c r="L84" s="3"/>
    </row>
    <row r="85" spans="2:12" ht="14.25">
      <c r="B85" s="3"/>
      <c r="C85" s="3"/>
      <c r="D85" s="3"/>
      <c r="E85" s="3"/>
      <c r="F85" s="3"/>
      <c r="G85" s="3"/>
      <c r="H85" s="3"/>
      <c r="I85" s="3"/>
      <c r="J85" s="3"/>
      <c r="K85" s="3"/>
      <c r="L85" s="3"/>
    </row>
    <row r="86" spans="2:12" ht="14.25">
      <c r="B86" s="3"/>
      <c r="C86" s="3"/>
      <c r="D86" s="3"/>
      <c r="E86" s="3"/>
      <c r="F86" s="3"/>
      <c r="G86" s="3"/>
      <c r="H86" s="3"/>
      <c r="I86" s="3"/>
      <c r="J86" s="3"/>
      <c r="K86" s="3"/>
      <c r="L86" s="3"/>
    </row>
    <row r="87" spans="2:12" ht="14.25">
      <c r="B87" s="3"/>
      <c r="C87" s="3"/>
      <c r="D87" s="3"/>
      <c r="E87" s="3"/>
      <c r="F87" s="3"/>
      <c r="G87" s="3"/>
      <c r="H87" s="3"/>
      <c r="I87" s="3"/>
      <c r="J87" s="3"/>
      <c r="K87" s="3"/>
      <c r="L87" s="3"/>
    </row>
    <row r="88" spans="2:12" ht="14.25">
      <c r="B88" s="3"/>
      <c r="C88" s="3"/>
      <c r="D88" s="3"/>
      <c r="E88" s="3"/>
      <c r="F88" s="3"/>
      <c r="G88" s="3"/>
      <c r="H88" s="3"/>
      <c r="I88" s="3"/>
      <c r="J88" s="3"/>
      <c r="K88" s="3"/>
      <c r="L88" s="3"/>
    </row>
    <row r="89" spans="2:12" ht="14.25">
      <c r="B89" s="3"/>
      <c r="C89" s="3"/>
      <c r="D89" s="3"/>
      <c r="E89" s="3"/>
      <c r="F89" s="3"/>
      <c r="G89" s="3"/>
      <c r="H89" s="3"/>
      <c r="I89" s="3"/>
      <c r="J89" s="3"/>
      <c r="K89" s="3"/>
      <c r="L89" s="3"/>
    </row>
    <row r="90" spans="2:12" ht="14.25">
      <c r="B90" s="3"/>
      <c r="C90" s="3"/>
      <c r="D90" s="3"/>
      <c r="E90" s="3"/>
      <c r="F90" s="3"/>
      <c r="G90" s="3"/>
      <c r="H90" s="3"/>
      <c r="I90" s="3"/>
      <c r="J90" s="3"/>
      <c r="K90" s="3"/>
      <c r="L90" s="3"/>
    </row>
    <row r="91" spans="2:12" ht="14.25">
      <c r="B91" s="3"/>
      <c r="C91" s="3"/>
      <c r="D91" s="3"/>
      <c r="E91" s="3"/>
      <c r="F91" s="3"/>
      <c r="G91" s="3"/>
      <c r="H91" s="3"/>
      <c r="I91" s="3"/>
      <c r="J91" s="3"/>
      <c r="K91" s="3"/>
      <c r="L91" s="3"/>
    </row>
  </sheetData>
  <sheetProtection/>
  <mergeCells count="6">
    <mergeCell ref="B1:M1"/>
    <mergeCell ref="B2:L2"/>
    <mergeCell ref="C4:E4"/>
    <mergeCell ref="F4:H4"/>
    <mergeCell ref="I4:J4"/>
    <mergeCell ref="K4:L4"/>
  </mergeCells>
  <printOptions horizontalCentered="1"/>
  <pageMargins left="0.5118110236220472" right="0.5118110236220472" top="0.7874015748031497" bottom="0.7874015748031497" header="0.31496062992125984" footer="0.31496062992125984"/>
  <pageSetup horizontalDpi="600" verticalDpi="600" orientation="landscape" paperSize="9" r:id="rId2"/>
  <drawing r:id="rId1"/>
</worksheet>
</file>

<file path=xl/worksheets/sheet19.xml><?xml version="1.0" encoding="utf-8"?>
<worksheet xmlns="http://schemas.openxmlformats.org/spreadsheetml/2006/main" xmlns:r="http://schemas.openxmlformats.org/officeDocument/2006/relationships">
  <dimension ref="A1:M91"/>
  <sheetViews>
    <sheetView zoomScalePageLayoutView="0" workbookViewId="0" topLeftCell="A1">
      <selection activeCell="N32" sqref="N32"/>
    </sheetView>
  </sheetViews>
  <sheetFormatPr defaultColWidth="11.421875" defaultRowHeight="12.75"/>
  <cols>
    <col min="1" max="1" width="3.140625" style="2" customWidth="1"/>
    <col min="2" max="2" width="15.421875" style="2" customWidth="1"/>
    <col min="3" max="3" width="8.7109375" style="2" bestFit="1" customWidth="1"/>
    <col min="4" max="4" width="10.28125" style="2" bestFit="1" customWidth="1"/>
    <col min="5" max="5" width="8.7109375" style="2" customWidth="1"/>
    <col min="6" max="6" width="10.7109375" style="2" customWidth="1"/>
    <col min="7" max="7" width="11.8515625" style="2" customWidth="1"/>
    <col min="8" max="8" width="8.7109375" style="2" customWidth="1"/>
    <col min="9" max="9" width="10.7109375" style="2" customWidth="1"/>
    <col min="10" max="10" width="13.7109375" style="2" customWidth="1"/>
    <col min="11" max="11" width="10.7109375" style="2" customWidth="1"/>
    <col min="12" max="12" width="13.7109375" style="2" customWidth="1"/>
    <col min="13" max="13" width="2.7109375" style="2" customWidth="1"/>
    <col min="14" max="16384" width="11.421875" style="2" customWidth="1"/>
  </cols>
  <sheetData>
    <row r="1" spans="1:13" ht="15" customHeight="1">
      <c r="A1" s="398"/>
      <c r="B1" s="1430" t="s">
        <v>419</v>
      </c>
      <c r="C1" s="1430"/>
      <c r="D1" s="1430"/>
      <c r="E1" s="1430"/>
      <c r="F1" s="1430"/>
      <c r="G1" s="1430"/>
      <c r="H1" s="1430"/>
      <c r="I1" s="1430"/>
      <c r="J1" s="1430"/>
      <c r="K1" s="1430"/>
      <c r="L1" s="1430"/>
      <c r="M1" s="1430"/>
    </row>
    <row r="2" spans="1:13" ht="24.75" customHeight="1">
      <c r="A2" s="398"/>
      <c r="B2" s="1431" t="s">
        <v>137</v>
      </c>
      <c r="C2" s="1432"/>
      <c r="D2" s="1432"/>
      <c r="E2" s="1432"/>
      <c r="F2" s="1432"/>
      <c r="G2" s="1432"/>
      <c r="H2" s="1432"/>
      <c r="I2" s="1432"/>
      <c r="J2" s="1432"/>
      <c r="K2" s="1432"/>
      <c r="L2" s="1433"/>
      <c r="M2" s="398"/>
    </row>
    <row r="3" spans="1:13" ht="13.5" customHeight="1">
      <c r="A3" s="398"/>
      <c r="B3" s="401"/>
      <c r="C3" s="402"/>
      <c r="D3" s="402"/>
      <c r="E3" s="403"/>
      <c r="F3" s="403"/>
      <c r="G3" s="403"/>
      <c r="H3" s="403"/>
      <c r="I3" s="403"/>
      <c r="J3" s="403"/>
      <c r="K3" s="403"/>
      <c r="L3" s="404"/>
      <c r="M3" s="398"/>
    </row>
    <row r="4" spans="1:13" ht="12.75" customHeight="1">
      <c r="A4" s="398"/>
      <c r="B4" s="405" t="s">
        <v>118</v>
      </c>
      <c r="C4" s="1434">
        <v>2016</v>
      </c>
      <c r="D4" s="1435"/>
      <c r="E4" s="1436"/>
      <c r="F4" s="1434">
        <v>2015</v>
      </c>
      <c r="G4" s="1435"/>
      <c r="H4" s="1436"/>
      <c r="I4" s="1434" t="s">
        <v>452</v>
      </c>
      <c r="J4" s="1436"/>
      <c r="K4" s="1434" t="s">
        <v>453</v>
      </c>
      <c r="L4" s="1436"/>
      <c r="M4" s="398"/>
    </row>
    <row r="5" spans="1:13" ht="12.75" customHeight="1">
      <c r="A5" s="398"/>
      <c r="B5" s="406"/>
      <c r="C5" s="386" t="s">
        <v>119</v>
      </c>
      <c r="D5" s="387" t="s">
        <v>120</v>
      </c>
      <c r="E5" s="388" t="s">
        <v>11</v>
      </c>
      <c r="F5" s="386" t="s">
        <v>119</v>
      </c>
      <c r="G5" s="387" t="s">
        <v>120</v>
      </c>
      <c r="H5" s="388" t="s">
        <v>11</v>
      </c>
      <c r="I5" s="389" t="s">
        <v>119</v>
      </c>
      <c r="J5" s="390" t="s">
        <v>120</v>
      </c>
      <c r="K5" s="386" t="s">
        <v>119</v>
      </c>
      <c r="L5" s="407" t="s">
        <v>120</v>
      </c>
      <c r="M5" s="398"/>
    </row>
    <row r="6" spans="1:13" ht="12.75" customHeight="1">
      <c r="A6" s="398"/>
      <c r="B6" s="735" t="s">
        <v>121</v>
      </c>
      <c r="C6" s="747">
        <v>37861.644</v>
      </c>
      <c r="D6" s="747">
        <v>250387.41</v>
      </c>
      <c r="E6" s="737">
        <f aca="true" t="shared" si="0" ref="E6:E13">(C6*1000)/D6</f>
        <v>151.21225144666818</v>
      </c>
      <c r="F6" s="747">
        <v>39831</v>
      </c>
      <c r="G6" s="747">
        <v>228973.33333333334</v>
      </c>
      <c r="H6" s="737">
        <f>(F6*1000)/G6</f>
        <v>173.95475455657134</v>
      </c>
      <c r="I6" s="391">
        <f>C6+SUM(F14:F18)</f>
        <v>263635.94700000004</v>
      </c>
      <c r="J6" s="391">
        <f>D6+SUM(G14:G18)</f>
        <v>1684886.453</v>
      </c>
      <c r="K6" s="391">
        <f>C6+SUM(F7:F18)-F13</f>
        <v>554434.9469999998</v>
      </c>
      <c r="L6" s="1226">
        <f>D6+SUM(G7:G18)-G13</f>
        <v>3406302.7863333337</v>
      </c>
      <c r="M6" s="398"/>
    </row>
    <row r="7" spans="1:13" ht="12.75" customHeight="1">
      <c r="A7" s="398"/>
      <c r="B7" s="738" t="s">
        <v>122</v>
      </c>
      <c r="C7" s="747">
        <v>47089.56</v>
      </c>
      <c r="D7" s="747">
        <v>318061.08</v>
      </c>
      <c r="E7" s="739">
        <f t="shared" si="0"/>
        <v>148.05194021223846</v>
      </c>
      <c r="F7" s="747">
        <v>42123</v>
      </c>
      <c r="G7" s="747">
        <v>235993.33333333334</v>
      </c>
      <c r="H7" s="739">
        <f>(F7*1000)/G7</f>
        <v>178.49233029181616</v>
      </c>
      <c r="I7" s="391">
        <f>SUM(C6:C7)+SUM(F15:F18)</f>
        <v>260547.442</v>
      </c>
      <c r="J7" s="391">
        <f>SUM(D6+D7)+SUM(G15:G18)</f>
        <v>1695986.4200000002</v>
      </c>
      <c r="K7" s="391">
        <f>SUM(C6+C7)+SUM(F8:F18)-F13</f>
        <v>559401.5069999999</v>
      </c>
      <c r="L7" s="409">
        <f>SUM(D6+D7)+SUM(G8:G18)-G13</f>
        <v>3488370.533</v>
      </c>
      <c r="M7" s="398"/>
    </row>
    <row r="8" spans="1:13" ht="12.75" customHeight="1">
      <c r="A8" s="398"/>
      <c r="B8" s="738" t="s">
        <v>123</v>
      </c>
      <c r="C8" s="747">
        <v>45282.055</v>
      </c>
      <c r="D8" s="747">
        <v>306639.143</v>
      </c>
      <c r="E8" s="739">
        <f t="shared" si="0"/>
        <v>147.6721287340671</v>
      </c>
      <c r="F8" s="747">
        <v>50779</v>
      </c>
      <c r="G8" s="747">
        <v>289813.3333333333</v>
      </c>
      <c r="H8" s="739">
        <f aca="true" t="shared" si="1" ref="H8:H17">(F8*1000)/G8</f>
        <v>175.21278064041223</v>
      </c>
      <c r="I8" s="1153">
        <f>SUM(C6:C8)+SUM(F16:F18)</f>
        <v>258174.897</v>
      </c>
      <c r="J8" s="391">
        <f>SUM(D6:D8)+SUM(G16:G18)</f>
        <v>1704879.163</v>
      </c>
      <c r="K8" s="391">
        <f>SUM(C6:C8)+SUM(F9:F18)-F13</f>
        <v>553904.5619999998</v>
      </c>
      <c r="L8" s="409">
        <f>SUM(D6:D8)+SUM(G9:G18)-G13</f>
        <v>3505196.342666666</v>
      </c>
      <c r="M8" s="398"/>
    </row>
    <row r="9" spans="1:13" ht="12.75" customHeight="1">
      <c r="A9" s="398"/>
      <c r="B9" s="738" t="s">
        <v>124</v>
      </c>
      <c r="C9" s="747">
        <v>40252.156</v>
      </c>
      <c r="D9" s="747">
        <v>265805.1733</v>
      </c>
      <c r="E9" s="739">
        <f t="shared" si="0"/>
        <v>151.4348103171399</v>
      </c>
      <c r="F9" s="747">
        <v>51658</v>
      </c>
      <c r="G9" s="747">
        <v>306626.6666666667</v>
      </c>
      <c r="H9" s="739">
        <f t="shared" si="1"/>
        <v>168.4719746053833</v>
      </c>
      <c r="I9" s="391">
        <f>SUM(C6:C9)+SUM(F17+F18)</f>
        <v>251458.566</v>
      </c>
      <c r="J9" s="391">
        <f>SUM(D6:D9)+SUM(G17:G18)</f>
        <v>1671907.8062999998</v>
      </c>
      <c r="K9" s="391">
        <f>SUM(C6:C9)+SUM(F10:F18)-F13</f>
        <v>542498.7179999999</v>
      </c>
      <c r="L9" s="409">
        <f>SUM(D6:D9)+SUM(G10:G18)-G13</f>
        <v>3464374.8493</v>
      </c>
      <c r="M9" s="398"/>
    </row>
    <row r="10" spans="1:13" ht="12.75" customHeight="1">
      <c r="A10" s="398"/>
      <c r="B10" s="738" t="s">
        <v>125</v>
      </c>
      <c r="C10" s="747">
        <v>40721.891</v>
      </c>
      <c r="D10" s="747">
        <v>269620.454</v>
      </c>
      <c r="E10" s="739">
        <f t="shared" si="0"/>
        <v>151.0341311123228</v>
      </c>
      <c r="F10" s="747">
        <v>44442</v>
      </c>
      <c r="G10" s="747">
        <v>266023.3333333333</v>
      </c>
      <c r="H10" s="739">
        <f t="shared" si="1"/>
        <v>167.06053353715842</v>
      </c>
      <c r="I10" s="391">
        <f>SUM(C6:C10)+F18</f>
        <v>257714.457</v>
      </c>
      <c r="J10" s="391">
        <f>SUM(D6:D10)+G18</f>
        <v>1717045.2602999997</v>
      </c>
      <c r="K10" s="391">
        <f>SUM(C6:C10)+SUM(F11:F18)-F13</f>
        <v>538778.6089999999</v>
      </c>
      <c r="L10" s="409">
        <f>SUM(D6:D10)+SUM(G11:G18)-G13</f>
        <v>3467971.969966666</v>
      </c>
      <c r="M10" s="398"/>
    </row>
    <row r="11" spans="1:13" ht="12.75" customHeight="1">
      <c r="A11" s="398"/>
      <c r="B11" s="738" t="s">
        <v>126</v>
      </c>
      <c r="C11" s="747">
        <v>45206.985</v>
      </c>
      <c r="D11" s="747">
        <v>305736.64</v>
      </c>
      <c r="E11" s="739">
        <f t="shared" si="0"/>
        <v>147.8625034932025</v>
      </c>
      <c r="F11" s="747">
        <v>51099</v>
      </c>
      <c r="G11" s="747">
        <v>307406.6666666667</v>
      </c>
      <c r="H11" s="739">
        <f t="shared" si="1"/>
        <v>166.22606319533298</v>
      </c>
      <c r="I11" s="391">
        <f>SUM(C6:C11)</f>
        <v>256414.29099999997</v>
      </c>
      <c r="J11" s="391">
        <f>SUM(D6:D11)</f>
        <v>1716249.9002999999</v>
      </c>
      <c r="K11" s="391">
        <f>SUM(C6:C11)+SUM(F14:F18)+F12</f>
        <v>532886.594</v>
      </c>
      <c r="L11" s="409">
        <f>SUM(D6:D11)+SUM(G14:G18)+G12</f>
        <v>3466301.9433</v>
      </c>
      <c r="M11" s="398"/>
    </row>
    <row r="12" spans="1:13" ht="12.75" customHeight="1">
      <c r="A12" s="398"/>
      <c r="B12" s="738" t="s">
        <v>128</v>
      </c>
      <c r="C12" s="747">
        <v>47333.128</v>
      </c>
      <c r="D12" s="747">
        <v>307123.473333333</v>
      </c>
      <c r="E12" s="739">
        <f t="shared" si="0"/>
        <v>154.11758497738637</v>
      </c>
      <c r="F12" s="747">
        <v>50698</v>
      </c>
      <c r="G12" s="747">
        <v>315553</v>
      </c>
      <c r="H12" s="739">
        <f t="shared" si="1"/>
        <v>160.66397720826612</v>
      </c>
      <c r="I12" s="394">
        <f>SUM(C7:C12)</f>
        <v>265885.775</v>
      </c>
      <c r="J12" s="392">
        <f>SUM(D7:D12)</f>
        <v>1772985.963633333</v>
      </c>
      <c r="K12" s="392">
        <f>SUM(C6:C12)+SUM(F14:F18)</f>
        <v>529521.7220000001</v>
      </c>
      <c r="L12" s="410">
        <f>SUM(D6:D12)+SUM(G14:G18)</f>
        <v>3457872.416633333</v>
      </c>
      <c r="M12" s="398"/>
    </row>
    <row r="13" spans="1:13" ht="12.75" customHeight="1">
      <c r="A13" s="398"/>
      <c r="B13" s="744" t="s">
        <v>471</v>
      </c>
      <c r="C13" s="839">
        <f>SUM(C6:C12)</f>
        <v>303747.419</v>
      </c>
      <c r="D13" s="839">
        <f>SUM(D6:D12)</f>
        <v>2023373.3736333328</v>
      </c>
      <c r="E13" s="396">
        <f t="shared" si="0"/>
        <v>150.1193121141881</v>
      </c>
      <c r="F13" s="839">
        <f>SUM(F6:F12)</f>
        <v>330630</v>
      </c>
      <c r="G13" s="839">
        <f>SUM(G6:G12)</f>
        <v>1950389.6666666667</v>
      </c>
      <c r="H13" s="396">
        <f t="shared" si="1"/>
        <v>169.5199711373915</v>
      </c>
      <c r="I13" s="391"/>
      <c r="J13" s="391"/>
      <c r="K13" s="391"/>
      <c r="L13" s="409"/>
      <c r="M13" s="398"/>
    </row>
    <row r="14" spans="1:13" ht="12.75" customHeight="1">
      <c r="A14" s="398"/>
      <c r="B14" s="738" t="s">
        <v>129</v>
      </c>
      <c r="C14" s="747"/>
      <c r="D14" s="747"/>
      <c r="E14" s="739"/>
      <c r="F14" s="747">
        <v>50178.065</v>
      </c>
      <c r="G14" s="747">
        <v>306961.113</v>
      </c>
      <c r="H14" s="739">
        <f t="shared" si="1"/>
        <v>163.4671718172979</v>
      </c>
      <c r="I14" s="391"/>
      <c r="J14" s="391"/>
      <c r="K14" s="391"/>
      <c r="L14" s="409"/>
      <c r="M14" s="398"/>
    </row>
    <row r="15" spans="1:13" ht="12.75" customHeight="1">
      <c r="A15" s="398"/>
      <c r="B15" s="738" t="s">
        <v>130</v>
      </c>
      <c r="C15" s="747"/>
      <c r="D15" s="747"/>
      <c r="E15" s="739"/>
      <c r="F15" s="747">
        <v>47654.6</v>
      </c>
      <c r="G15" s="747">
        <v>297746.4</v>
      </c>
      <c r="H15" s="739">
        <f t="shared" si="1"/>
        <v>160.0509695499257</v>
      </c>
      <c r="I15" s="391"/>
      <c r="J15" s="391"/>
      <c r="K15" s="391"/>
      <c r="L15" s="409"/>
      <c r="M15" s="398"/>
    </row>
    <row r="16" spans="1:13" ht="12.75" customHeight="1">
      <c r="A16" s="398"/>
      <c r="B16" s="738" t="s">
        <v>131</v>
      </c>
      <c r="C16" s="747"/>
      <c r="D16" s="747"/>
      <c r="E16" s="739"/>
      <c r="F16" s="747">
        <v>46968.487</v>
      </c>
      <c r="G16" s="747">
        <v>298776.53</v>
      </c>
      <c r="H16" s="739">
        <f t="shared" si="1"/>
        <v>157.20273275815873</v>
      </c>
      <c r="I16" s="391"/>
      <c r="J16" s="391"/>
      <c r="K16" s="391"/>
      <c r="L16" s="409"/>
      <c r="M16" s="399"/>
    </row>
    <row r="17" spans="1:13" ht="12.75" customHeight="1">
      <c r="A17" s="398"/>
      <c r="B17" s="738" t="s">
        <v>132</v>
      </c>
      <c r="C17" s="747"/>
      <c r="D17" s="747"/>
      <c r="E17" s="739"/>
      <c r="F17" s="747">
        <v>34466</v>
      </c>
      <c r="G17" s="747">
        <v>224483</v>
      </c>
      <c r="H17" s="739">
        <f t="shared" si="1"/>
        <v>153.5350115598954</v>
      </c>
      <c r="I17" s="391"/>
      <c r="J17" s="391"/>
      <c r="K17" s="391"/>
      <c r="L17" s="409"/>
      <c r="M17" s="398"/>
    </row>
    <row r="18" spans="1:13" ht="12.75" customHeight="1">
      <c r="A18" s="398"/>
      <c r="B18" s="738" t="s">
        <v>133</v>
      </c>
      <c r="C18" s="742"/>
      <c r="D18" s="743"/>
      <c r="E18" s="746"/>
      <c r="F18" s="742">
        <v>46507.151</v>
      </c>
      <c r="G18" s="743">
        <v>306532</v>
      </c>
      <c r="H18" s="746">
        <f>(F18*1000)/G18</f>
        <v>151.7203782965563</v>
      </c>
      <c r="I18" s="394"/>
      <c r="J18" s="392"/>
      <c r="K18" s="392"/>
      <c r="L18" s="410"/>
      <c r="M18" s="398"/>
    </row>
    <row r="19" spans="1:13" ht="12.75" customHeight="1">
      <c r="A19" s="398"/>
      <c r="B19" s="744" t="s">
        <v>115</v>
      </c>
      <c r="C19" s="742">
        <f>SUM(C6:C18)-C13</f>
        <v>303747.419</v>
      </c>
      <c r="D19" s="761">
        <f>SUM(D6:D18)-D13</f>
        <v>2023373.3736333328</v>
      </c>
      <c r="E19" s="746">
        <f>(C19*1000)/D19</f>
        <v>150.1193121141881</v>
      </c>
      <c r="F19" s="761">
        <f>SUM(F6:F18)-F13</f>
        <v>556404.3029999998</v>
      </c>
      <c r="G19" s="761">
        <f>SUM(G6:G18)-G13</f>
        <v>3384888.7096666675</v>
      </c>
      <c r="H19" s="745">
        <f>(F19*1000)/G19</f>
        <v>164.3789059920947</v>
      </c>
      <c r="I19" s="497"/>
      <c r="J19" s="497"/>
      <c r="K19" s="497"/>
      <c r="L19" s="552"/>
      <c r="M19" s="398"/>
    </row>
    <row r="20" spans="1:13" ht="12" customHeight="1">
      <c r="A20" s="398"/>
      <c r="B20" s="413" t="s">
        <v>116</v>
      </c>
      <c r="C20" s="414"/>
      <c r="D20" s="414"/>
      <c r="E20" s="133"/>
      <c r="F20" s="397" t="s">
        <v>143</v>
      </c>
      <c r="G20" s="415"/>
      <c r="H20" s="133"/>
      <c r="I20" s="133"/>
      <c r="J20" s="397" t="s">
        <v>135</v>
      </c>
      <c r="K20" s="133"/>
      <c r="L20" s="76"/>
      <c r="M20" s="398"/>
    </row>
    <row r="21" spans="1:13" ht="12" customHeight="1">
      <c r="A21" s="398"/>
      <c r="B21" s="413" t="s">
        <v>320</v>
      </c>
      <c r="C21" s="414"/>
      <c r="D21" s="414"/>
      <c r="E21" s="133"/>
      <c r="F21" s="397" t="s">
        <v>134</v>
      </c>
      <c r="G21" s="415"/>
      <c r="H21" s="133"/>
      <c r="I21" s="133"/>
      <c r="J21" s="397" t="s">
        <v>136</v>
      </c>
      <c r="K21" s="133"/>
      <c r="L21" s="76"/>
      <c r="M21" s="398"/>
    </row>
    <row r="22" spans="1:13" ht="15" customHeight="1">
      <c r="A22" s="398"/>
      <c r="B22" s="140"/>
      <c r="C22" s="414"/>
      <c r="D22" s="414"/>
      <c r="E22" s="133"/>
      <c r="F22" s="415"/>
      <c r="G22" s="415"/>
      <c r="H22" s="133"/>
      <c r="I22" s="133"/>
      <c r="J22" s="133"/>
      <c r="K22" s="133"/>
      <c r="L22" s="76"/>
      <c r="M22" s="398"/>
    </row>
    <row r="23" spans="1:13" ht="15" customHeight="1">
      <c r="A23" s="398"/>
      <c r="B23" s="140"/>
      <c r="C23" s="414"/>
      <c r="D23" s="414"/>
      <c r="E23" s="133"/>
      <c r="F23" s="415"/>
      <c r="G23" s="415"/>
      <c r="H23" s="133"/>
      <c r="I23" s="133"/>
      <c r="J23" s="133"/>
      <c r="K23" s="133"/>
      <c r="L23" s="76"/>
      <c r="M23" s="398"/>
    </row>
    <row r="24" spans="1:13" ht="15" customHeight="1">
      <c r="A24" s="398"/>
      <c r="B24" s="140"/>
      <c r="C24" s="414"/>
      <c r="D24" s="414"/>
      <c r="E24" s="133"/>
      <c r="F24" s="415"/>
      <c r="G24" s="415"/>
      <c r="H24" s="133"/>
      <c r="I24" s="133"/>
      <c r="J24" s="133"/>
      <c r="K24" s="133"/>
      <c r="L24" s="76"/>
      <c r="M24" s="398"/>
    </row>
    <row r="25" spans="1:13" ht="15" customHeight="1">
      <c r="A25" s="398"/>
      <c r="B25" s="416"/>
      <c r="C25" s="414"/>
      <c r="D25" s="414"/>
      <c r="E25" s="141"/>
      <c r="F25" s="141"/>
      <c r="G25" s="141"/>
      <c r="H25" s="141"/>
      <c r="I25" s="141"/>
      <c r="J25" s="141"/>
      <c r="K25" s="141"/>
      <c r="L25" s="142"/>
      <c r="M25" s="398"/>
    </row>
    <row r="26" spans="1:13" ht="15" customHeight="1">
      <c r="A26" s="398"/>
      <c r="B26" s="138"/>
      <c r="C26" s="133"/>
      <c r="D26" s="133"/>
      <c r="E26" s="133"/>
      <c r="F26" s="133"/>
      <c r="G26" s="133"/>
      <c r="H26" s="133"/>
      <c r="I26" s="133"/>
      <c r="J26" s="133"/>
      <c r="K26" s="133"/>
      <c r="L26" s="76"/>
      <c r="M26" s="398"/>
    </row>
    <row r="27" spans="1:13" ht="15" customHeight="1">
      <c r="A27" s="398"/>
      <c r="B27" s="138"/>
      <c r="C27" s="133"/>
      <c r="D27" s="133"/>
      <c r="E27" s="133"/>
      <c r="F27" s="133"/>
      <c r="G27" s="133"/>
      <c r="H27" s="133"/>
      <c r="I27" s="133"/>
      <c r="J27" s="133"/>
      <c r="K27" s="133"/>
      <c r="L27" s="76"/>
      <c r="M27" s="398"/>
    </row>
    <row r="28" spans="1:13" ht="15" customHeight="1">
      <c r="A28" s="398"/>
      <c r="B28" s="138"/>
      <c r="C28" s="133"/>
      <c r="D28" s="133"/>
      <c r="E28" s="133"/>
      <c r="F28" s="133"/>
      <c r="G28" s="133"/>
      <c r="H28" s="133"/>
      <c r="I28" s="133"/>
      <c r="J28" s="133"/>
      <c r="K28" s="133"/>
      <c r="L28" s="76"/>
      <c r="M28" s="398"/>
    </row>
    <row r="29" spans="1:13" ht="15" customHeight="1">
      <c r="A29" s="398"/>
      <c r="B29" s="138"/>
      <c r="C29" s="133"/>
      <c r="D29" s="133"/>
      <c r="E29" s="133"/>
      <c r="F29" s="133"/>
      <c r="G29" s="133"/>
      <c r="H29" s="133"/>
      <c r="I29" s="133"/>
      <c r="J29" s="133"/>
      <c r="K29" s="133"/>
      <c r="L29" s="76"/>
      <c r="M29" s="398"/>
    </row>
    <row r="30" spans="1:13" ht="15" customHeight="1">
      <c r="A30" s="398"/>
      <c r="B30" s="138"/>
      <c r="C30" s="133"/>
      <c r="D30" s="133"/>
      <c r="E30" s="133"/>
      <c r="F30" s="133"/>
      <c r="G30" s="133"/>
      <c r="H30" s="133"/>
      <c r="I30" s="133"/>
      <c r="J30" s="133"/>
      <c r="K30" s="133"/>
      <c r="L30" s="76"/>
      <c r="M30" s="398"/>
    </row>
    <row r="31" spans="1:13" ht="15" customHeight="1">
      <c r="A31" s="398"/>
      <c r="B31" s="138"/>
      <c r="C31" s="133"/>
      <c r="D31" s="133"/>
      <c r="E31" s="133"/>
      <c r="F31" s="133"/>
      <c r="G31" s="133"/>
      <c r="H31" s="133"/>
      <c r="I31" s="133"/>
      <c r="J31" s="133"/>
      <c r="K31" s="133"/>
      <c r="L31" s="76"/>
      <c r="M31" s="398"/>
    </row>
    <row r="32" spans="1:13" ht="15" customHeight="1">
      <c r="A32" s="398"/>
      <c r="B32" s="138"/>
      <c r="C32" s="133"/>
      <c r="D32" s="133"/>
      <c r="E32" s="133"/>
      <c r="F32" s="133"/>
      <c r="G32" s="133"/>
      <c r="H32" s="133"/>
      <c r="I32" s="133"/>
      <c r="J32" s="133"/>
      <c r="K32" s="133"/>
      <c r="L32" s="76"/>
      <c r="M32" s="398"/>
    </row>
    <row r="33" spans="1:13" ht="15" customHeight="1">
      <c r="A33" s="398"/>
      <c r="B33" s="417"/>
      <c r="C33" s="112"/>
      <c r="D33" s="112"/>
      <c r="E33" s="112"/>
      <c r="F33" s="112"/>
      <c r="G33" s="112"/>
      <c r="H33" s="112"/>
      <c r="I33" s="112"/>
      <c r="J33" s="112"/>
      <c r="K33" s="112"/>
      <c r="L33" s="418"/>
      <c r="M33" s="398"/>
    </row>
    <row r="34" spans="1:13" ht="15" customHeight="1">
      <c r="A34" s="398"/>
      <c r="B34" s="400"/>
      <c r="C34" s="400"/>
      <c r="D34" s="400"/>
      <c r="E34" s="400"/>
      <c r="F34" s="400"/>
      <c r="G34" s="400"/>
      <c r="H34" s="400"/>
      <c r="I34" s="400"/>
      <c r="J34" s="400"/>
      <c r="K34" s="400"/>
      <c r="L34" s="400"/>
      <c r="M34" s="398"/>
    </row>
    <row r="35" spans="2:12" ht="14.25">
      <c r="B35" s="3"/>
      <c r="C35" s="3"/>
      <c r="D35" s="3"/>
      <c r="E35" s="3"/>
      <c r="F35" s="3"/>
      <c r="G35" s="3"/>
      <c r="H35" s="3"/>
      <c r="I35" s="3"/>
      <c r="J35" s="3"/>
      <c r="K35" s="3"/>
      <c r="L35" s="3"/>
    </row>
    <row r="36" spans="2:12" ht="14.25">
      <c r="B36" s="3"/>
      <c r="C36" s="3"/>
      <c r="D36" s="3"/>
      <c r="E36" s="3"/>
      <c r="F36" s="3"/>
      <c r="G36" s="3"/>
      <c r="H36" s="3"/>
      <c r="I36" s="3"/>
      <c r="J36" s="3"/>
      <c r="K36" s="3"/>
      <c r="L36" s="3"/>
    </row>
    <row r="37" spans="2:12" ht="14.25">
      <c r="B37" s="3"/>
      <c r="C37" s="3"/>
      <c r="D37" s="3"/>
      <c r="E37" s="3"/>
      <c r="F37" s="3"/>
      <c r="G37" s="3"/>
      <c r="H37" s="3"/>
      <c r="I37" s="3"/>
      <c r="J37" s="3"/>
      <c r="K37" s="3"/>
      <c r="L37" s="3"/>
    </row>
    <row r="38" spans="2:12" ht="14.25">
      <c r="B38" s="3"/>
      <c r="C38" s="3"/>
      <c r="D38" s="3"/>
      <c r="E38" s="3"/>
      <c r="F38" s="3"/>
      <c r="G38" s="3"/>
      <c r="H38" s="3"/>
      <c r="I38" s="3"/>
      <c r="J38" s="3"/>
      <c r="K38" s="3"/>
      <c r="L38" s="3"/>
    </row>
    <row r="39" spans="2:12" ht="14.25">
      <c r="B39" s="3"/>
      <c r="C39" s="3"/>
      <c r="D39" s="3"/>
      <c r="E39" s="3"/>
      <c r="F39" s="3"/>
      <c r="G39" s="3"/>
      <c r="H39" s="3"/>
      <c r="I39" s="3"/>
      <c r="J39" s="3"/>
      <c r="K39" s="3"/>
      <c r="L39" s="3"/>
    </row>
    <row r="40" spans="2:12" ht="14.25">
      <c r="B40" s="3"/>
      <c r="C40" s="3"/>
      <c r="D40" s="3"/>
      <c r="E40" s="3"/>
      <c r="F40" s="3"/>
      <c r="G40" s="3"/>
      <c r="H40" s="3"/>
      <c r="I40" s="3"/>
      <c r="J40" s="3"/>
      <c r="K40" s="3"/>
      <c r="L40" s="3"/>
    </row>
    <row r="41" spans="2:12" ht="14.25">
      <c r="B41" s="3"/>
      <c r="C41" s="3"/>
      <c r="D41" s="3"/>
      <c r="E41" s="3"/>
      <c r="F41" s="3"/>
      <c r="G41" s="3"/>
      <c r="H41" s="3"/>
      <c r="I41" s="3"/>
      <c r="J41" s="3"/>
      <c r="K41" s="3"/>
      <c r="L41" s="3"/>
    </row>
    <row r="42" spans="2:12" ht="14.25">
      <c r="B42" s="3"/>
      <c r="C42" s="3"/>
      <c r="D42" s="3"/>
      <c r="E42" s="3"/>
      <c r="F42" s="3"/>
      <c r="G42" s="3"/>
      <c r="H42" s="3"/>
      <c r="I42" s="3"/>
      <c r="J42" s="3"/>
      <c r="K42" s="3"/>
      <c r="L42" s="3"/>
    </row>
    <row r="43" spans="2:12" ht="14.25">
      <c r="B43" s="3"/>
      <c r="C43" s="3"/>
      <c r="D43" s="3"/>
      <c r="E43" s="3"/>
      <c r="F43" s="3"/>
      <c r="G43" s="3"/>
      <c r="H43" s="3"/>
      <c r="I43" s="3"/>
      <c r="J43" s="3"/>
      <c r="K43" s="3"/>
      <c r="L43" s="3"/>
    </row>
    <row r="44" spans="2:12" ht="14.25">
      <c r="B44" s="3"/>
      <c r="C44" s="3"/>
      <c r="D44" s="3"/>
      <c r="E44" s="3"/>
      <c r="F44" s="3"/>
      <c r="G44" s="3"/>
      <c r="H44" s="3"/>
      <c r="I44" s="3"/>
      <c r="J44" s="3"/>
      <c r="K44" s="3"/>
      <c r="L44" s="3"/>
    </row>
    <row r="45" spans="2:12" ht="14.25">
      <c r="B45" s="3"/>
      <c r="C45" s="3"/>
      <c r="D45" s="3"/>
      <c r="E45" s="3"/>
      <c r="F45" s="3"/>
      <c r="G45" s="3"/>
      <c r="H45" s="3"/>
      <c r="I45" s="3"/>
      <c r="J45" s="3"/>
      <c r="K45" s="3"/>
      <c r="L45" s="3"/>
    </row>
    <row r="46" spans="2:12" ht="14.25">
      <c r="B46" s="3"/>
      <c r="C46" s="3"/>
      <c r="D46" s="3"/>
      <c r="E46" s="3"/>
      <c r="F46" s="3"/>
      <c r="G46" s="3"/>
      <c r="H46" s="3"/>
      <c r="I46" s="3"/>
      <c r="J46" s="3"/>
      <c r="K46" s="3"/>
      <c r="L46" s="3"/>
    </row>
    <row r="47" spans="2:12" ht="14.25">
      <c r="B47" s="3"/>
      <c r="C47" s="3"/>
      <c r="D47" s="3"/>
      <c r="E47" s="3"/>
      <c r="F47" s="3"/>
      <c r="G47" s="3"/>
      <c r="H47" s="3"/>
      <c r="I47" s="3"/>
      <c r="J47" s="3"/>
      <c r="K47" s="3"/>
      <c r="L47" s="3"/>
    </row>
    <row r="48" spans="2:12" ht="14.25">
      <c r="B48" s="3"/>
      <c r="C48" s="3"/>
      <c r="D48" s="3"/>
      <c r="E48" s="3"/>
      <c r="F48" s="3"/>
      <c r="G48" s="3"/>
      <c r="H48" s="3"/>
      <c r="I48" s="3"/>
      <c r="J48" s="3"/>
      <c r="K48" s="3"/>
      <c r="L48" s="3"/>
    </row>
    <row r="49" spans="2:12" ht="14.25">
      <c r="B49" s="3"/>
      <c r="C49" s="3"/>
      <c r="D49" s="3"/>
      <c r="E49" s="3"/>
      <c r="F49" s="3"/>
      <c r="G49" s="3"/>
      <c r="H49" s="3"/>
      <c r="I49" s="3"/>
      <c r="J49" s="3"/>
      <c r="K49" s="3"/>
      <c r="L49" s="3"/>
    </row>
    <row r="50" spans="2:12" ht="14.25">
      <c r="B50" s="3"/>
      <c r="C50" s="3"/>
      <c r="D50" s="3"/>
      <c r="E50" s="3"/>
      <c r="F50" s="3"/>
      <c r="G50" s="3"/>
      <c r="H50" s="3"/>
      <c r="I50" s="3"/>
      <c r="J50" s="3"/>
      <c r="K50" s="3"/>
      <c r="L50" s="3"/>
    </row>
    <row r="51" spans="2:12" ht="14.25">
      <c r="B51" s="3"/>
      <c r="C51" s="3"/>
      <c r="D51" s="3"/>
      <c r="E51" s="3"/>
      <c r="F51" s="3"/>
      <c r="G51" s="3"/>
      <c r="H51" s="3"/>
      <c r="I51" s="3"/>
      <c r="J51" s="3"/>
      <c r="K51" s="3"/>
      <c r="L51" s="3"/>
    </row>
    <row r="52" spans="2:12" ht="14.25">
      <c r="B52" s="3"/>
      <c r="C52" s="3"/>
      <c r="D52" s="3"/>
      <c r="E52" s="3"/>
      <c r="F52" s="3"/>
      <c r="G52" s="3"/>
      <c r="H52" s="3"/>
      <c r="I52" s="3"/>
      <c r="J52" s="3"/>
      <c r="K52" s="3"/>
      <c r="L52" s="3"/>
    </row>
    <row r="53" spans="2:12" ht="14.25">
      <c r="B53" s="3"/>
      <c r="C53" s="3"/>
      <c r="D53" s="3"/>
      <c r="E53" s="3"/>
      <c r="F53" s="3"/>
      <c r="G53" s="3"/>
      <c r="H53" s="3"/>
      <c r="I53" s="3"/>
      <c r="J53" s="3"/>
      <c r="K53" s="3"/>
      <c r="L53" s="3"/>
    </row>
    <row r="54" spans="2:12" ht="14.25">
      <c r="B54" s="3"/>
      <c r="C54" s="3"/>
      <c r="D54" s="3"/>
      <c r="E54" s="3"/>
      <c r="F54" s="3"/>
      <c r="G54" s="3"/>
      <c r="H54" s="3"/>
      <c r="I54" s="3"/>
      <c r="J54" s="3"/>
      <c r="K54" s="3"/>
      <c r="L54" s="3"/>
    </row>
    <row r="55" spans="2:12" ht="14.25">
      <c r="B55" s="3"/>
      <c r="C55" s="3"/>
      <c r="D55" s="3"/>
      <c r="E55" s="3"/>
      <c r="F55" s="3"/>
      <c r="G55" s="3"/>
      <c r="H55" s="3"/>
      <c r="I55" s="3"/>
      <c r="J55" s="3"/>
      <c r="K55" s="3"/>
      <c r="L55" s="3"/>
    </row>
    <row r="56" spans="2:12" ht="14.25">
      <c r="B56" s="3"/>
      <c r="C56" s="3"/>
      <c r="D56" s="3"/>
      <c r="E56" s="3"/>
      <c r="F56" s="3"/>
      <c r="G56" s="3"/>
      <c r="H56" s="3"/>
      <c r="I56" s="3"/>
      <c r="J56" s="3"/>
      <c r="K56" s="3"/>
      <c r="L56" s="3"/>
    </row>
    <row r="57" spans="2:12" ht="14.25">
      <c r="B57" s="3"/>
      <c r="C57" s="3"/>
      <c r="D57" s="3"/>
      <c r="E57" s="3"/>
      <c r="F57" s="3"/>
      <c r="G57" s="3"/>
      <c r="H57" s="3"/>
      <c r="I57" s="3"/>
      <c r="J57" s="3"/>
      <c r="K57" s="3"/>
      <c r="L57" s="3"/>
    </row>
    <row r="58" spans="2:12" ht="14.25">
      <c r="B58" s="3"/>
      <c r="C58" s="3"/>
      <c r="D58" s="3"/>
      <c r="E58" s="3"/>
      <c r="F58" s="3"/>
      <c r="G58" s="3"/>
      <c r="H58" s="3"/>
      <c r="I58" s="3"/>
      <c r="J58" s="3"/>
      <c r="K58" s="3"/>
      <c r="L58" s="3"/>
    </row>
    <row r="59" spans="2:12" ht="14.25">
      <c r="B59" s="3"/>
      <c r="C59" s="3"/>
      <c r="D59" s="3"/>
      <c r="E59" s="3"/>
      <c r="F59" s="3"/>
      <c r="G59" s="3"/>
      <c r="H59" s="3"/>
      <c r="I59" s="3"/>
      <c r="J59" s="3"/>
      <c r="K59" s="3"/>
      <c r="L59" s="3"/>
    </row>
    <row r="60" spans="2:12" ht="14.25">
      <c r="B60" s="3"/>
      <c r="C60" s="3"/>
      <c r="D60" s="3"/>
      <c r="E60" s="3"/>
      <c r="F60" s="3"/>
      <c r="G60" s="3"/>
      <c r="H60" s="3"/>
      <c r="I60" s="3"/>
      <c r="J60" s="3"/>
      <c r="K60" s="3"/>
      <c r="L60" s="3"/>
    </row>
    <row r="61" spans="2:12" ht="14.25">
      <c r="B61" s="3"/>
      <c r="C61" s="3"/>
      <c r="D61" s="3"/>
      <c r="E61" s="3"/>
      <c r="F61" s="3"/>
      <c r="G61" s="3"/>
      <c r="H61" s="3"/>
      <c r="I61" s="3"/>
      <c r="J61" s="3"/>
      <c r="K61" s="3"/>
      <c r="L61" s="3"/>
    </row>
    <row r="62" spans="2:12" ht="14.25">
      <c r="B62" s="3"/>
      <c r="C62" s="3"/>
      <c r="D62" s="3"/>
      <c r="E62" s="3"/>
      <c r="F62" s="3"/>
      <c r="G62" s="3"/>
      <c r="H62" s="3"/>
      <c r="I62" s="3"/>
      <c r="J62" s="3"/>
      <c r="K62" s="3"/>
      <c r="L62" s="3"/>
    </row>
    <row r="63" spans="2:12" ht="14.25">
      <c r="B63" s="3"/>
      <c r="C63" s="3"/>
      <c r="D63" s="3"/>
      <c r="E63" s="3"/>
      <c r="F63" s="3"/>
      <c r="G63" s="3"/>
      <c r="H63" s="3"/>
      <c r="I63" s="3"/>
      <c r="J63" s="3"/>
      <c r="K63" s="3"/>
      <c r="L63" s="3"/>
    </row>
    <row r="64" spans="2:12" ht="14.25">
      <c r="B64" s="3"/>
      <c r="C64" s="3"/>
      <c r="D64" s="3"/>
      <c r="E64" s="3"/>
      <c r="F64" s="3"/>
      <c r="G64" s="3"/>
      <c r="H64" s="3"/>
      <c r="I64" s="3"/>
      <c r="J64" s="3"/>
      <c r="K64" s="3"/>
      <c r="L64" s="3"/>
    </row>
    <row r="65" spans="2:12" ht="14.25">
      <c r="B65" s="3"/>
      <c r="C65" s="3"/>
      <c r="D65" s="3"/>
      <c r="E65" s="3"/>
      <c r="F65" s="3"/>
      <c r="G65" s="3"/>
      <c r="H65" s="3"/>
      <c r="I65" s="3"/>
      <c r="J65" s="3"/>
      <c r="K65" s="3"/>
      <c r="L65" s="3"/>
    </row>
    <row r="66" spans="2:12" ht="14.25">
      <c r="B66" s="3"/>
      <c r="C66" s="3"/>
      <c r="D66" s="3"/>
      <c r="E66" s="3"/>
      <c r="F66" s="3"/>
      <c r="G66" s="3"/>
      <c r="H66" s="3"/>
      <c r="I66" s="3"/>
      <c r="J66" s="3"/>
      <c r="K66" s="3"/>
      <c r="L66" s="3"/>
    </row>
    <row r="67" spans="2:12" ht="14.25">
      <c r="B67" s="3"/>
      <c r="C67" s="3"/>
      <c r="D67" s="3"/>
      <c r="E67" s="3"/>
      <c r="F67" s="3"/>
      <c r="G67" s="3"/>
      <c r="H67" s="3"/>
      <c r="I67" s="3"/>
      <c r="J67" s="3"/>
      <c r="K67" s="3"/>
      <c r="L67" s="3"/>
    </row>
    <row r="68" spans="2:12" ht="14.25">
      <c r="B68" s="3"/>
      <c r="C68" s="3"/>
      <c r="D68" s="3"/>
      <c r="E68" s="3"/>
      <c r="F68" s="3"/>
      <c r="G68" s="3"/>
      <c r="H68" s="3"/>
      <c r="I68" s="3"/>
      <c r="J68" s="3"/>
      <c r="K68" s="3"/>
      <c r="L68" s="3"/>
    </row>
    <row r="69" spans="2:12" ht="14.25">
      <c r="B69" s="3"/>
      <c r="C69" s="3"/>
      <c r="D69" s="3"/>
      <c r="E69" s="3"/>
      <c r="F69" s="3"/>
      <c r="G69" s="3"/>
      <c r="H69" s="3"/>
      <c r="I69" s="3"/>
      <c r="J69" s="3"/>
      <c r="K69" s="3"/>
      <c r="L69" s="3"/>
    </row>
    <row r="70" spans="2:12" ht="14.25">
      <c r="B70" s="3"/>
      <c r="C70" s="3"/>
      <c r="D70" s="3"/>
      <c r="E70" s="3"/>
      <c r="F70" s="3"/>
      <c r="G70" s="3"/>
      <c r="H70" s="3"/>
      <c r="I70" s="3"/>
      <c r="J70" s="3"/>
      <c r="K70" s="3"/>
      <c r="L70" s="3"/>
    </row>
    <row r="71" spans="2:12" ht="14.25">
      <c r="B71" s="3"/>
      <c r="C71" s="3"/>
      <c r="D71" s="3"/>
      <c r="E71" s="3"/>
      <c r="F71" s="3"/>
      <c r="G71" s="3"/>
      <c r="H71" s="3"/>
      <c r="I71" s="3"/>
      <c r="J71" s="3"/>
      <c r="K71" s="3"/>
      <c r="L71" s="3"/>
    </row>
    <row r="72" spans="2:12" ht="14.25">
      <c r="B72" s="3"/>
      <c r="C72" s="3"/>
      <c r="D72" s="3"/>
      <c r="E72" s="3"/>
      <c r="F72" s="3"/>
      <c r="G72" s="3"/>
      <c r="H72" s="3"/>
      <c r="I72" s="3"/>
      <c r="J72" s="3"/>
      <c r="K72" s="3"/>
      <c r="L72" s="3"/>
    </row>
    <row r="73" spans="2:12" ht="14.25">
      <c r="B73" s="3"/>
      <c r="C73" s="3"/>
      <c r="D73" s="3"/>
      <c r="E73" s="3"/>
      <c r="F73" s="3"/>
      <c r="G73" s="3"/>
      <c r="H73" s="3"/>
      <c r="I73" s="3"/>
      <c r="J73" s="3"/>
      <c r="K73" s="3"/>
      <c r="L73" s="3"/>
    </row>
    <row r="74" spans="2:12" ht="14.25">
      <c r="B74" s="3"/>
      <c r="C74" s="3"/>
      <c r="D74" s="3"/>
      <c r="E74" s="3"/>
      <c r="F74" s="3"/>
      <c r="G74" s="3"/>
      <c r="H74" s="3"/>
      <c r="I74" s="3"/>
      <c r="J74" s="3"/>
      <c r="K74" s="3"/>
      <c r="L74" s="3"/>
    </row>
    <row r="75" spans="2:12" ht="14.25">
      <c r="B75" s="3"/>
      <c r="C75" s="3"/>
      <c r="D75" s="3"/>
      <c r="E75" s="3"/>
      <c r="F75" s="3"/>
      <c r="G75" s="3"/>
      <c r="H75" s="3"/>
      <c r="I75" s="3"/>
      <c r="J75" s="3"/>
      <c r="K75" s="3"/>
      <c r="L75" s="3"/>
    </row>
    <row r="76" spans="2:12" ht="14.25">
      <c r="B76" s="3"/>
      <c r="C76" s="3"/>
      <c r="D76" s="3"/>
      <c r="E76" s="3"/>
      <c r="F76" s="3"/>
      <c r="G76" s="3"/>
      <c r="H76" s="3"/>
      <c r="I76" s="3"/>
      <c r="J76" s="3"/>
      <c r="K76" s="3"/>
      <c r="L76" s="3"/>
    </row>
    <row r="77" spans="2:12" ht="14.25">
      <c r="B77" s="3"/>
      <c r="C77" s="3"/>
      <c r="D77" s="3"/>
      <c r="E77" s="3"/>
      <c r="F77" s="3"/>
      <c r="G77" s="3"/>
      <c r="H77" s="3"/>
      <c r="I77" s="3"/>
      <c r="J77" s="3"/>
      <c r="K77" s="3"/>
      <c r="L77" s="3"/>
    </row>
    <row r="78" spans="2:12" ht="14.25">
      <c r="B78" s="3"/>
      <c r="C78" s="3"/>
      <c r="D78" s="3"/>
      <c r="E78" s="3"/>
      <c r="F78" s="3"/>
      <c r="G78" s="3"/>
      <c r="H78" s="3"/>
      <c r="I78" s="3"/>
      <c r="J78" s="3"/>
      <c r="K78" s="3"/>
      <c r="L78" s="3"/>
    </row>
    <row r="79" spans="2:12" ht="14.25">
      <c r="B79" s="3"/>
      <c r="C79" s="3"/>
      <c r="D79" s="3"/>
      <c r="E79" s="3"/>
      <c r="F79" s="3"/>
      <c r="G79" s="3"/>
      <c r="H79" s="3"/>
      <c r="I79" s="3"/>
      <c r="J79" s="3"/>
      <c r="K79" s="3"/>
      <c r="L79" s="3"/>
    </row>
    <row r="80" spans="2:12" ht="14.25">
      <c r="B80" s="3"/>
      <c r="C80" s="3"/>
      <c r="D80" s="3"/>
      <c r="E80" s="3"/>
      <c r="F80" s="3"/>
      <c r="G80" s="3"/>
      <c r="H80" s="3"/>
      <c r="I80" s="3"/>
      <c r="J80" s="3"/>
      <c r="K80" s="3"/>
      <c r="L80" s="3"/>
    </row>
    <row r="81" spans="2:12" ht="14.25">
      <c r="B81" s="3"/>
      <c r="C81" s="3"/>
      <c r="D81" s="3"/>
      <c r="E81" s="3"/>
      <c r="F81" s="3"/>
      <c r="G81" s="3"/>
      <c r="H81" s="3"/>
      <c r="I81" s="3"/>
      <c r="J81" s="3"/>
      <c r="K81" s="3"/>
      <c r="L81" s="3"/>
    </row>
    <row r="82" spans="2:12" ht="14.25">
      <c r="B82" s="3"/>
      <c r="C82" s="3"/>
      <c r="D82" s="3"/>
      <c r="E82" s="3"/>
      <c r="F82" s="3"/>
      <c r="G82" s="3"/>
      <c r="H82" s="3"/>
      <c r="I82" s="3"/>
      <c r="J82" s="3"/>
      <c r="K82" s="3"/>
      <c r="L82" s="3"/>
    </row>
    <row r="83" spans="2:12" ht="14.25">
      <c r="B83" s="3"/>
      <c r="C83" s="3"/>
      <c r="D83" s="3"/>
      <c r="E83" s="3"/>
      <c r="F83" s="3"/>
      <c r="G83" s="3"/>
      <c r="H83" s="3"/>
      <c r="I83" s="3"/>
      <c r="J83" s="3"/>
      <c r="K83" s="3"/>
      <c r="L83" s="3"/>
    </row>
    <row r="84" spans="2:12" ht="14.25">
      <c r="B84" s="3"/>
      <c r="C84" s="3"/>
      <c r="D84" s="3"/>
      <c r="E84" s="3"/>
      <c r="F84" s="3"/>
      <c r="G84" s="3"/>
      <c r="H84" s="3"/>
      <c r="I84" s="3"/>
      <c r="J84" s="3"/>
      <c r="K84" s="3"/>
      <c r="L84" s="3"/>
    </row>
    <row r="85" spans="2:12" ht="14.25">
      <c r="B85" s="3"/>
      <c r="C85" s="3"/>
      <c r="D85" s="3"/>
      <c r="E85" s="3"/>
      <c r="F85" s="3"/>
      <c r="G85" s="3"/>
      <c r="H85" s="3"/>
      <c r="I85" s="3"/>
      <c r="J85" s="3"/>
      <c r="K85" s="3"/>
      <c r="L85" s="3"/>
    </row>
    <row r="86" spans="2:12" ht="14.25">
      <c r="B86" s="3"/>
      <c r="C86" s="3"/>
      <c r="D86" s="3"/>
      <c r="E86" s="3"/>
      <c r="F86" s="3"/>
      <c r="G86" s="3"/>
      <c r="H86" s="3"/>
      <c r="I86" s="3"/>
      <c r="J86" s="3"/>
      <c r="K86" s="3"/>
      <c r="L86" s="3"/>
    </row>
    <row r="87" spans="2:12" ht="14.25">
      <c r="B87" s="3"/>
      <c r="C87" s="3"/>
      <c r="D87" s="3"/>
      <c r="E87" s="3"/>
      <c r="F87" s="3"/>
      <c r="G87" s="3"/>
      <c r="H87" s="3"/>
      <c r="I87" s="3"/>
      <c r="J87" s="3"/>
      <c r="K87" s="3"/>
      <c r="L87" s="3"/>
    </row>
    <row r="88" spans="2:12" ht="14.25">
      <c r="B88" s="3"/>
      <c r="C88" s="3"/>
      <c r="D88" s="3"/>
      <c r="E88" s="3"/>
      <c r="F88" s="3"/>
      <c r="G88" s="3"/>
      <c r="H88" s="3"/>
      <c r="I88" s="3"/>
      <c r="J88" s="3"/>
      <c r="K88" s="3"/>
      <c r="L88" s="3"/>
    </row>
    <row r="89" spans="2:12" ht="14.25">
      <c r="B89" s="3"/>
      <c r="C89" s="3"/>
      <c r="D89" s="3"/>
      <c r="E89" s="3"/>
      <c r="F89" s="3"/>
      <c r="G89" s="3"/>
      <c r="H89" s="3"/>
      <c r="I89" s="3"/>
      <c r="J89" s="3"/>
      <c r="K89" s="3"/>
      <c r="L89" s="3"/>
    </row>
    <row r="90" spans="2:12" ht="14.25">
      <c r="B90" s="3"/>
      <c r="C90" s="3"/>
      <c r="D90" s="3"/>
      <c r="E90" s="3"/>
      <c r="F90" s="3"/>
      <c r="G90" s="3"/>
      <c r="H90" s="3"/>
      <c r="I90" s="3"/>
      <c r="J90" s="3"/>
      <c r="K90" s="3"/>
      <c r="L90" s="3"/>
    </row>
    <row r="91" spans="2:12" ht="14.25">
      <c r="B91" s="3"/>
      <c r="C91" s="3"/>
      <c r="D91" s="3"/>
      <c r="E91" s="3"/>
      <c r="F91" s="3"/>
      <c r="G91" s="3"/>
      <c r="H91" s="3"/>
      <c r="I91" s="3"/>
      <c r="J91" s="3"/>
      <c r="K91" s="3"/>
      <c r="L91" s="3"/>
    </row>
  </sheetData>
  <sheetProtection/>
  <mergeCells count="6">
    <mergeCell ref="B1:M1"/>
    <mergeCell ref="B2:L2"/>
    <mergeCell ref="C4:E4"/>
    <mergeCell ref="F4:H4"/>
    <mergeCell ref="I4:J4"/>
    <mergeCell ref="K4:L4"/>
  </mergeCells>
  <printOptions horizontalCentered="1" verticalCentered="1"/>
  <pageMargins left="0.5118110236220472" right="0.5118110236220472" top="0.7874015748031497" bottom="0.7874015748031497"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D34"/>
  <sheetViews>
    <sheetView zoomScalePageLayoutView="0" workbookViewId="0" topLeftCell="A1">
      <selection activeCell="E13" sqref="E13"/>
    </sheetView>
  </sheetViews>
  <sheetFormatPr defaultColWidth="9.140625" defaultRowHeight="12.75"/>
  <cols>
    <col min="1" max="1" width="2.7109375" style="0" customWidth="1"/>
    <col min="2" max="2" width="126.421875" style="0" customWidth="1"/>
    <col min="3" max="3" width="2.7109375" style="0" customWidth="1"/>
    <col min="4" max="4" width="8.8515625" style="0" bestFit="1" customWidth="1"/>
  </cols>
  <sheetData>
    <row r="1" spans="1:3" ht="16.5" customHeight="1">
      <c r="A1" s="56"/>
      <c r="B1" s="278"/>
      <c r="C1" s="56"/>
    </row>
    <row r="2" spans="1:3" ht="13.5" customHeight="1">
      <c r="A2" s="58"/>
      <c r="B2" s="363"/>
      <c r="C2" s="57"/>
    </row>
    <row r="3" spans="1:3" ht="16.5" customHeight="1">
      <c r="A3" s="58"/>
      <c r="B3" s="366" t="s">
        <v>319</v>
      </c>
      <c r="C3" s="57"/>
    </row>
    <row r="4" spans="1:3" ht="16.5" customHeight="1">
      <c r="A4" s="58"/>
      <c r="B4" s="366" t="s">
        <v>309</v>
      </c>
      <c r="C4" s="57"/>
    </row>
    <row r="5" spans="1:3" ht="16.5" customHeight="1">
      <c r="A5" s="58"/>
      <c r="B5" s="366" t="s">
        <v>564</v>
      </c>
      <c r="C5" s="57"/>
    </row>
    <row r="6" spans="1:3" ht="16.5" customHeight="1">
      <c r="A6" s="58"/>
      <c r="B6" s="366"/>
      <c r="C6" s="57"/>
    </row>
    <row r="7" spans="1:3" ht="15" customHeight="1">
      <c r="A7" s="58"/>
      <c r="B7" s="366"/>
      <c r="C7" s="57"/>
    </row>
    <row r="8" spans="1:3" ht="16.5" customHeight="1">
      <c r="A8" s="58"/>
      <c r="B8" s="367" t="s">
        <v>515</v>
      </c>
      <c r="C8" s="57"/>
    </row>
    <row r="9" spans="1:3" ht="16.5" customHeight="1">
      <c r="A9" s="58"/>
      <c r="B9" s="367" t="s">
        <v>518</v>
      </c>
      <c r="C9" s="57"/>
    </row>
    <row r="10" spans="1:3" ht="16.5" customHeight="1">
      <c r="A10" s="58"/>
      <c r="B10" s="367" t="s">
        <v>519</v>
      </c>
      <c r="C10" s="57"/>
    </row>
    <row r="11" spans="1:3" ht="16.5" customHeight="1">
      <c r="A11" s="58"/>
      <c r="B11" s="367" t="s">
        <v>563</v>
      </c>
      <c r="C11" s="57"/>
    </row>
    <row r="12" spans="1:3" ht="15" customHeight="1">
      <c r="A12" s="58"/>
      <c r="B12" s="364"/>
      <c r="C12" s="57"/>
    </row>
    <row r="13" spans="1:3" ht="16.5" customHeight="1">
      <c r="A13" s="58"/>
      <c r="B13" s="367" t="s">
        <v>562</v>
      </c>
      <c r="C13" s="57"/>
    </row>
    <row r="14" spans="1:3" ht="16.5" customHeight="1">
      <c r="A14" s="58"/>
      <c r="B14" s="368" t="s">
        <v>559</v>
      </c>
      <c r="C14" s="57"/>
    </row>
    <row r="15" spans="1:3" ht="16.5" customHeight="1">
      <c r="A15" s="58"/>
      <c r="B15" s="1229" t="s">
        <v>560</v>
      </c>
      <c r="C15" s="57"/>
    </row>
    <row r="16" spans="1:3" ht="16.5" customHeight="1">
      <c r="A16" s="58"/>
      <c r="B16" s="1230" t="s">
        <v>561</v>
      </c>
      <c r="C16" s="57"/>
    </row>
    <row r="17" spans="1:3" ht="16.5" customHeight="1">
      <c r="A17" s="60"/>
      <c r="B17" s="1231"/>
      <c r="C17" s="57"/>
    </row>
    <row r="18" spans="1:3" ht="16.5" customHeight="1">
      <c r="A18" s="58"/>
      <c r="B18" s="790"/>
      <c r="C18" s="57"/>
    </row>
    <row r="19" spans="1:3" ht="16.5" customHeight="1">
      <c r="A19" s="58"/>
      <c r="B19" s="790"/>
      <c r="C19" s="57"/>
    </row>
    <row r="20" spans="1:3" ht="16.5" customHeight="1">
      <c r="A20" s="58"/>
      <c r="B20" s="790"/>
      <c r="C20" s="57"/>
    </row>
    <row r="21" spans="1:3" ht="16.5" customHeight="1">
      <c r="A21" s="58"/>
      <c r="B21" s="369" t="s">
        <v>435</v>
      </c>
      <c r="C21" s="57"/>
    </row>
    <row r="22" spans="1:3" ht="16.5" customHeight="1">
      <c r="A22" s="58"/>
      <c r="B22" s="369" t="s">
        <v>310</v>
      </c>
      <c r="C22" s="57"/>
    </row>
    <row r="23" spans="1:3" ht="16.5" customHeight="1">
      <c r="A23" s="58"/>
      <c r="B23" s="369" t="s">
        <v>311</v>
      </c>
      <c r="C23" s="57"/>
    </row>
    <row r="24" spans="1:3" ht="16.5" customHeight="1">
      <c r="A24" s="58"/>
      <c r="B24" s="369" t="s">
        <v>552</v>
      </c>
      <c r="C24" s="57"/>
    </row>
    <row r="25" spans="1:3" ht="16.5" customHeight="1">
      <c r="A25" s="58"/>
      <c r="B25" s="369" t="s">
        <v>312</v>
      </c>
      <c r="C25" s="57"/>
    </row>
    <row r="26" spans="1:3" ht="14.25" customHeight="1">
      <c r="A26" s="58"/>
      <c r="B26" s="370" t="s">
        <v>313</v>
      </c>
      <c r="C26" s="57"/>
    </row>
    <row r="27" spans="1:3" ht="16.5" customHeight="1">
      <c r="A27" s="58"/>
      <c r="B27" s="369" t="s">
        <v>314</v>
      </c>
      <c r="C27" s="58"/>
    </row>
    <row r="28" spans="1:3" ht="16.5" customHeight="1">
      <c r="A28" s="58"/>
      <c r="B28" s="369"/>
      <c r="C28" s="58"/>
    </row>
    <row r="29" spans="1:3" ht="9" customHeight="1">
      <c r="A29" s="58"/>
      <c r="B29" s="365"/>
      <c r="C29" s="58"/>
    </row>
    <row r="30" spans="1:4" ht="16.5" customHeight="1">
      <c r="A30" s="57"/>
      <c r="B30" s="57"/>
      <c r="C30" s="57"/>
      <c r="D30" s="51"/>
    </row>
    <row r="31" ht="15">
      <c r="D31" s="51"/>
    </row>
    <row r="32" ht="15">
      <c r="D32" s="51"/>
    </row>
    <row r="33" ht="15">
      <c r="D33" s="51"/>
    </row>
    <row r="34" ht="15">
      <c r="D34" s="51"/>
    </row>
  </sheetData>
  <sheetProtection/>
  <hyperlinks>
    <hyperlink ref="B26" r:id="rId1" display="http://www.agricultura.gov.br/vegetal/estatisticas"/>
    <hyperlink ref="B16" r:id="rId2" display="airton.camargo@agricultura.gov.br"/>
  </hyperlinks>
  <printOptions horizontalCentered="1" verticalCentered="1"/>
  <pageMargins left="0.5118110236220472" right="0.5118110236220472" top="0.7874015748031497" bottom="0.7874015748031497" header="0.31496062992125984" footer="0.31496062992125984"/>
  <pageSetup horizontalDpi="600" verticalDpi="600" orientation="landscape" paperSize="9" r:id="rId4"/>
  <drawing r:id="rId3"/>
</worksheet>
</file>

<file path=xl/worksheets/sheet20.xml><?xml version="1.0" encoding="utf-8"?>
<worksheet xmlns="http://schemas.openxmlformats.org/spreadsheetml/2006/main" xmlns:r="http://schemas.openxmlformats.org/officeDocument/2006/relationships">
  <dimension ref="A1:O91"/>
  <sheetViews>
    <sheetView zoomScalePageLayoutView="0" workbookViewId="0" topLeftCell="A1">
      <selection activeCell="N32" sqref="N32"/>
    </sheetView>
  </sheetViews>
  <sheetFormatPr defaultColWidth="11.421875" defaultRowHeight="12.75"/>
  <cols>
    <col min="1" max="1" width="2.7109375" style="2" customWidth="1"/>
    <col min="2" max="2" width="15.421875" style="2" customWidth="1"/>
    <col min="3" max="3" width="7.28125" style="2" bestFit="1" customWidth="1"/>
    <col min="4" max="4" width="9.7109375" style="2" customWidth="1"/>
    <col min="5" max="5" width="8.7109375" style="2" customWidth="1"/>
    <col min="6" max="6" width="10.7109375" style="2" customWidth="1"/>
    <col min="7" max="7" width="11.8515625" style="2" customWidth="1"/>
    <col min="8" max="8" width="8.7109375" style="2" customWidth="1"/>
    <col min="9" max="9" width="10.7109375" style="2" customWidth="1"/>
    <col min="10" max="10" width="13.7109375" style="2" customWidth="1"/>
    <col min="11" max="11" width="10.7109375" style="2" customWidth="1"/>
    <col min="12" max="12" width="13.7109375" style="2" customWidth="1"/>
    <col min="13" max="13" width="2.7109375" style="2" customWidth="1"/>
    <col min="14" max="16384" width="11.421875" style="2" customWidth="1"/>
  </cols>
  <sheetData>
    <row r="1" spans="1:13" ht="15" customHeight="1">
      <c r="A1" s="1430" t="s">
        <v>420</v>
      </c>
      <c r="B1" s="1430"/>
      <c r="C1" s="1430"/>
      <c r="D1" s="1430"/>
      <c r="E1" s="1430"/>
      <c r="F1" s="1430"/>
      <c r="G1" s="1430"/>
      <c r="H1" s="1430"/>
      <c r="I1" s="1430"/>
      <c r="J1" s="1430"/>
      <c r="K1" s="1430"/>
      <c r="L1" s="1430"/>
      <c r="M1" s="1430"/>
    </row>
    <row r="2" spans="1:13" ht="24" customHeight="1">
      <c r="A2" s="398"/>
      <c r="B2" s="1431" t="s">
        <v>325</v>
      </c>
      <c r="C2" s="1432"/>
      <c r="D2" s="1432"/>
      <c r="E2" s="1432"/>
      <c r="F2" s="1432"/>
      <c r="G2" s="1432"/>
      <c r="H2" s="1432"/>
      <c r="I2" s="1432"/>
      <c r="J2" s="1432"/>
      <c r="K2" s="1432"/>
      <c r="L2" s="1433"/>
      <c r="M2" s="398"/>
    </row>
    <row r="3" spans="1:13" ht="13.5" customHeight="1">
      <c r="A3" s="398"/>
      <c r="B3" s="401"/>
      <c r="C3" s="402"/>
      <c r="D3" s="402"/>
      <c r="E3" s="403"/>
      <c r="F3" s="403"/>
      <c r="G3" s="403"/>
      <c r="H3" s="403"/>
      <c r="I3" s="403"/>
      <c r="J3" s="403"/>
      <c r="K3" s="403"/>
      <c r="L3" s="404"/>
      <c r="M3" s="398"/>
    </row>
    <row r="4" spans="1:13" ht="12.75" customHeight="1">
      <c r="A4" s="398"/>
      <c r="B4" s="405" t="s">
        <v>118</v>
      </c>
      <c r="C4" s="1434">
        <v>2016</v>
      </c>
      <c r="D4" s="1435"/>
      <c r="E4" s="1436"/>
      <c r="F4" s="1434">
        <v>2015</v>
      </c>
      <c r="G4" s="1435"/>
      <c r="H4" s="1436"/>
      <c r="I4" s="1434" t="s">
        <v>452</v>
      </c>
      <c r="J4" s="1436"/>
      <c r="K4" s="1434" t="s">
        <v>453</v>
      </c>
      <c r="L4" s="1436"/>
      <c r="M4" s="398"/>
    </row>
    <row r="5" spans="1:13" ht="12.75" customHeight="1">
      <c r="A5" s="398"/>
      <c r="B5" s="406"/>
      <c r="C5" s="386" t="s">
        <v>119</v>
      </c>
      <c r="D5" s="387" t="s">
        <v>120</v>
      </c>
      <c r="E5" s="388" t="s">
        <v>11</v>
      </c>
      <c r="F5" s="386" t="s">
        <v>119</v>
      </c>
      <c r="G5" s="387" t="s">
        <v>120</v>
      </c>
      <c r="H5" s="388" t="s">
        <v>11</v>
      </c>
      <c r="I5" s="389" t="s">
        <v>119</v>
      </c>
      <c r="J5" s="390" t="s">
        <v>120</v>
      </c>
      <c r="K5" s="386" t="s">
        <v>119</v>
      </c>
      <c r="L5" s="407" t="s">
        <v>120</v>
      </c>
      <c r="M5" s="398"/>
    </row>
    <row r="6" spans="1:13" ht="12.75" customHeight="1">
      <c r="A6" s="398"/>
      <c r="B6" s="735" t="s">
        <v>121</v>
      </c>
      <c r="C6" s="736">
        <v>596.523</v>
      </c>
      <c r="D6" s="736">
        <v>2257.29</v>
      </c>
      <c r="E6" s="737">
        <f aca="true" t="shared" si="0" ref="E6:E13">(C6*1000)/D6</f>
        <v>264.2651143627979</v>
      </c>
      <c r="F6" s="736">
        <v>302</v>
      </c>
      <c r="G6" s="736">
        <v>912.3333333333334</v>
      </c>
      <c r="H6" s="737">
        <f>(F6*1000)/G6</f>
        <v>331.0193642674461</v>
      </c>
      <c r="I6" s="391">
        <f>C6+SUM(F14:F18)</f>
        <v>4530.483</v>
      </c>
      <c r="J6" s="391">
        <f>D6+SUM(G14:G18)</f>
        <v>15770.198</v>
      </c>
      <c r="K6" s="391">
        <f>C6+SUM(F7:F18)-F13</f>
        <v>10373.483</v>
      </c>
      <c r="L6" s="1226">
        <f>D6+SUM(G7:G18)-G13</f>
        <v>34651.698000000004</v>
      </c>
      <c r="M6" s="398"/>
    </row>
    <row r="7" spans="1:13" ht="12.75" customHeight="1">
      <c r="A7" s="398"/>
      <c r="B7" s="738" t="s">
        <v>122</v>
      </c>
      <c r="C7" s="736">
        <v>1116.13</v>
      </c>
      <c r="D7" s="736">
        <v>2282.38</v>
      </c>
      <c r="E7" s="739">
        <f t="shared" si="0"/>
        <v>489.0202332652757</v>
      </c>
      <c r="F7" s="736">
        <v>912</v>
      </c>
      <c r="G7" s="736">
        <v>2816.3333333333335</v>
      </c>
      <c r="H7" s="739">
        <f>(F7*1000)/G7</f>
        <v>323.82530476979525</v>
      </c>
      <c r="I7" s="391">
        <f>SUM(C6:C7)+SUM(F15:F18)</f>
        <v>4841.726000000001</v>
      </c>
      <c r="J7" s="391">
        <f>SUM(D6+D7)+SUM(G15:G18)</f>
        <v>15744.93</v>
      </c>
      <c r="K7" s="391">
        <f>SUM(C6+C7)+SUM(F8:F18)-F13</f>
        <v>10577.613000000001</v>
      </c>
      <c r="L7" s="409">
        <f>SUM(D6+D7)+SUM(G8:G18)-G13</f>
        <v>34117.744666666666</v>
      </c>
      <c r="M7" s="398"/>
    </row>
    <row r="8" spans="1:13" ht="12.75" customHeight="1">
      <c r="A8" s="398"/>
      <c r="B8" s="738" t="s">
        <v>123</v>
      </c>
      <c r="C8" s="736">
        <v>596.026</v>
      </c>
      <c r="D8" s="736">
        <v>3605.602</v>
      </c>
      <c r="E8" s="739">
        <f t="shared" si="0"/>
        <v>165.30554398405593</v>
      </c>
      <c r="F8" s="736">
        <v>1146</v>
      </c>
      <c r="G8" s="736">
        <v>3946.8333333333335</v>
      </c>
      <c r="H8" s="739">
        <f aca="true" t="shared" si="1" ref="H8:H17">(F8*1000)/G8</f>
        <v>290.3593598243317</v>
      </c>
      <c r="I8" s="1153">
        <f>SUM(C6:C8)+SUM(F16:F18)</f>
        <v>4622.552</v>
      </c>
      <c r="J8" s="391">
        <f>SUM(D6:D8)+SUM(G16:G18)</f>
        <v>16441.532</v>
      </c>
      <c r="K8" s="391">
        <f>SUM(C6:C8)+SUM(F9:F18)-F13</f>
        <v>10027.639000000001</v>
      </c>
      <c r="L8" s="409">
        <f>SUM(D6:D8)+SUM(G9:G18)-G13</f>
        <v>33776.513333333336</v>
      </c>
      <c r="M8" s="398"/>
    </row>
    <row r="9" spans="1:13" ht="12.75" customHeight="1">
      <c r="A9" s="398"/>
      <c r="B9" s="738" t="s">
        <v>124</v>
      </c>
      <c r="C9" s="736">
        <v>976.714</v>
      </c>
      <c r="D9" s="736">
        <v>3097.96</v>
      </c>
      <c r="E9" s="739">
        <f t="shared" si="0"/>
        <v>315.2765045384705</v>
      </c>
      <c r="F9" s="736">
        <v>607</v>
      </c>
      <c r="G9" s="736">
        <v>1804.8333333333333</v>
      </c>
      <c r="H9" s="739">
        <f t="shared" si="1"/>
        <v>336.31914304183215</v>
      </c>
      <c r="I9" s="391">
        <f>SUM(C6:C9)+SUM(F17+F18)</f>
        <v>4595.393</v>
      </c>
      <c r="J9" s="391">
        <f>SUM(D6:D9)+SUM(G17:G18)</f>
        <v>15497.232</v>
      </c>
      <c r="K9" s="391">
        <f>SUM(C6:C9)+SUM(F10:F18)-F13</f>
        <v>10397.353000000003</v>
      </c>
      <c r="L9" s="409">
        <f>SUM(D6:D9)+SUM(G10:G18)-G13</f>
        <v>35069.64</v>
      </c>
      <c r="M9" s="398"/>
    </row>
    <row r="10" spans="1:13" ht="12.75" customHeight="1">
      <c r="A10" s="398"/>
      <c r="B10" s="738" t="s">
        <v>125</v>
      </c>
      <c r="C10" s="736">
        <v>484.339</v>
      </c>
      <c r="D10" s="736">
        <v>1754.9</v>
      </c>
      <c r="E10" s="739">
        <f t="shared" si="0"/>
        <v>275.9923642372785</v>
      </c>
      <c r="F10" s="736">
        <v>795</v>
      </c>
      <c r="G10" s="736">
        <v>2419.6666666666665</v>
      </c>
      <c r="H10" s="739">
        <f t="shared" si="1"/>
        <v>328.55765256922444</v>
      </c>
      <c r="I10" s="391">
        <f>SUM(C6:C10)+F18</f>
        <v>4624.732</v>
      </c>
      <c r="J10" s="391">
        <f>SUM(D6:D10)+G18</f>
        <v>15623.132</v>
      </c>
      <c r="K10" s="391">
        <f>SUM(C6:C10)+SUM(F11:F18)-F13</f>
        <v>10086.692000000001</v>
      </c>
      <c r="L10" s="409">
        <f>SUM(D6:D10)+SUM(G11:G18)-G13</f>
        <v>34404.87333333334</v>
      </c>
      <c r="M10" s="398"/>
    </row>
    <row r="11" spans="1:13" ht="12.75" customHeight="1">
      <c r="A11" s="398"/>
      <c r="B11" s="738" t="s">
        <v>126</v>
      </c>
      <c r="C11" s="736">
        <v>1149.929</v>
      </c>
      <c r="D11" s="736">
        <v>4406.345</v>
      </c>
      <c r="E11" s="739">
        <f t="shared" si="0"/>
        <v>260.9711677138308</v>
      </c>
      <c r="F11" s="736">
        <v>1280</v>
      </c>
      <c r="G11" s="736">
        <v>4184.833333333333</v>
      </c>
      <c r="H11" s="739">
        <f t="shared" si="1"/>
        <v>305.8664223983432</v>
      </c>
      <c r="I11" s="391">
        <f>SUM(C6:C11)</f>
        <v>4919.661</v>
      </c>
      <c r="J11" s="391">
        <f>SUM(D6:D11)</f>
        <v>17404.477</v>
      </c>
      <c r="K11" s="391">
        <f>SUM(C6:C11)+SUM(F14:F18)+F12</f>
        <v>9956.621</v>
      </c>
      <c r="L11" s="409">
        <f>SUM(D6:D11)+SUM(G14:G18)+G12</f>
        <v>34626.384999999995</v>
      </c>
      <c r="M11" s="398"/>
    </row>
    <row r="12" spans="1:13" ht="12.75" customHeight="1">
      <c r="A12" s="398"/>
      <c r="B12" s="738" t="s">
        <v>128</v>
      </c>
      <c r="C12" s="741">
        <v>878.569</v>
      </c>
      <c r="D12" s="741">
        <v>2934.62716666666</v>
      </c>
      <c r="E12" s="739">
        <f t="shared" si="0"/>
        <v>299.3801086486689</v>
      </c>
      <c r="F12" s="741">
        <v>1103</v>
      </c>
      <c r="G12" s="741">
        <v>3709</v>
      </c>
      <c r="H12" s="543">
        <f t="shared" si="1"/>
        <v>297.3847398220545</v>
      </c>
      <c r="I12" s="394">
        <f>SUM(C7:C12)</f>
        <v>5201.707</v>
      </c>
      <c r="J12" s="392">
        <f>SUM(D7:D12)</f>
        <v>18081.814166666656</v>
      </c>
      <c r="K12" s="392">
        <f>SUM(C6:C12)+SUM(F14:F18)</f>
        <v>9732.189999999999</v>
      </c>
      <c r="L12" s="410">
        <f>SUM(D6:D12)+SUM(G14:G18)</f>
        <v>33852.01216666665</v>
      </c>
      <c r="M12" s="398"/>
    </row>
    <row r="13" spans="1:15" ht="12.75" customHeight="1">
      <c r="A13" s="398"/>
      <c r="B13" s="744" t="s">
        <v>471</v>
      </c>
      <c r="C13" s="839">
        <f>SUM(C6:C12)</f>
        <v>5798.23</v>
      </c>
      <c r="D13" s="839">
        <f>SUM(D6:D12)</f>
        <v>20339.104166666657</v>
      </c>
      <c r="E13" s="396">
        <f t="shared" si="0"/>
        <v>285.07794406710406</v>
      </c>
      <c r="F13" s="839">
        <f>SUM(F6:F12)</f>
        <v>6145</v>
      </c>
      <c r="G13" s="839">
        <f>SUM(G6:G12)</f>
        <v>19793.833333333332</v>
      </c>
      <c r="H13" s="396">
        <f t="shared" si="1"/>
        <v>310.45022439648716</v>
      </c>
      <c r="I13" s="391"/>
      <c r="J13" s="391"/>
      <c r="K13" s="391"/>
      <c r="L13" s="409"/>
      <c r="M13" s="398"/>
      <c r="O13" s="1169"/>
    </row>
    <row r="14" spans="1:13" ht="12.75" customHeight="1">
      <c r="A14" s="398"/>
      <c r="B14" s="738" t="s">
        <v>129</v>
      </c>
      <c r="C14" s="736"/>
      <c r="D14" s="736"/>
      <c r="E14" s="739"/>
      <c r="F14" s="736">
        <v>804.887</v>
      </c>
      <c r="G14" s="736">
        <v>2307.648</v>
      </c>
      <c r="H14" s="739">
        <f t="shared" si="1"/>
        <v>348.791063455085</v>
      </c>
      <c r="I14" s="391"/>
      <c r="J14" s="391"/>
      <c r="K14" s="391"/>
      <c r="L14" s="409"/>
      <c r="M14" s="398"/>
    </row>
    <row r="15" spans="1:13" ht="12.75" customHeight="1">
      <c r="A15" s="398"/>
      <c r="B15" s="738" t="s">
        <v>130</v>
      </c>
      <c r="C15" s="736"/>
      <c r="D15" s="736"/>
      <c r="E15" s="739"/>
      <c r="F15" s="736">
        <v>815.2</v>
      </c>
      <c r="G15" s="736">
        <v>2909</v>
      </c>
      <c r="H15" s="739">
        <f t="shared" si="1"/>
        <v>280.2337573049158</v>
      </c>
      <c r="I15" s="391"/>
      <c r="J15" s="391"/>
      <c r="K15" s="391"/>
      <c r="L15" s="409"/>
      <c r="M15" s="398"/>
    </row>
    <row r="16" spans="1:13" ht="12.75" customHeight="1">
      <c r="A16" s="398"/>
      <c r="B16" s="738" t="s">
        <v>131</v>
      </c>
      <c r="C16" s="736"/>
      <c r="D16" s="736"/>
      <c r="E16" s="739"/>
      <c r="F16" s="736">
        <v>1003.873</v>
      </c>
      <c r="G16" s="736">
        <v>4042.26</v>
      </c>
      <c r="H16" s="739">
        <f t="shared" si="1"/>
        <v>248.34449045830797</v>
      </c>
      <c r="I16" s="391"/>
      <c r="J16" s="391"/>
      <c r="K16" s="391"/>
      <c r="L16" s="409"/>
      <c r="M16" s="399"/>
    </row>
    <row r="17" spans="1:13" ht="12.75" customHeight="1">
      <c r="A17" s="398"/>
      <c r="B17" s="738" t="s">
        <v>132</v>
      </c>
      <c r="C17" s="736"/>
      <c r="D17" s="736"/>
      <c r="E17" s="739"/>
      <c r="F17" s="736">
        <v>455</v>
      </c>
      <c r="G17" s="736">
        <v>1629</v>
      </c>
      <c r="H17" s="739">
        <f t="shared" si="1"/>
        <v>279.31246163290365</v>
      </c>
      <c r="I17" s="391"/>
      <c r="J17" s="391"/>
      <c r="K17" s="391"/>
      <c r="L17" s="409"/>
      <c r="M17" s="398"/>
    </row>
    <row r="18" spans="1:13" ht="12.75" customHeight="1">
      <c r="A18" s="398"/>
      <c r="B18" s="738" t="s">
        <v>133</v>
      </c>
      <c r="C18" s="742"/>
      <c r="D18" s="743"/>
      <c r="E18" s="746"/>
      <c r="F18" s="742">
        <v>855</v>
      </c>
      <c r="G18" s="743">
        <v>2625</v>
      </c>
      <c r="H18" s="746">
        <f>(F18*1000)/G18</f>
        <v>325.7142857142857</v>
      </c>
      <c r="I18" s="394"/>
      <c r="J18" s="392"/>
      <c r="K18" s="392"/>
      <c r="L18" s="410"/>
      <c r="M18" s="398"/>
    </row>
    <row r="19" spans="1:13" ht="12.75" customHeight="1">
      <c r="A19" s="398"/>
      <c r="B19" s="744" t="s">
        <v>115</v>
      </c>
      <c r="C19" s="742">
        <f>SUM(C6:C18)-C13</f>
        <v>5798.23</v>
      </c>
      <c r="D19" s="761">
        <f>SUM(D6:D18)-D13</f>
        <v>20339.104166666657</v>
      </c>
      <c r="E19" s="746">
        <f>(C19*1000)/D19</f>
        <v>285.07794406710406</v>
      </c>
      <c r="F19" s="743">
        <f>SUM(F6:F18)-F13</f>
        <v>10078.960000000001</v>
      </c>
      <c r="G19" s="743">
        <f>SUM(G6:G18)-G13</f>
        <v>33306.74133333334</v>
      </c>
      <c r="H19" s="746">
        <f>(F19*1000)/G19</f>
        <v>302.610210321386</v>
      </c>
      <c r="I19" s="497"/>
      <c r="J19" s="497"/>
      <c r="K19" s="497"/>
      <c r="L19" s="552"/>
      <c r="M19" s="398"/>
    </row>
    <row r="20" spans="1:13" ht="12" customHeight="1">
      <c r="A20" s="398"/>
      <c r="B20" s="413" t="s">
        <v>116</v>
      </c>
      <c r="C20" s="414"/>
      <c r="D20" s="414"/>
      <c r="E20" s="397" t="s">
        <v>144</v>
      </c>
      <c r="F20" s="489"/>
      <c r="G20" s="415"/>
      <c r="H20" s="133"/>
      <c r="I20" s="133"/>
      <c r="J20" s="397" t="s">
        <v>135</v>
      </c>
      <c r="K20" s="133"/>
      <c r="L20" s="76"/>
      <c r="M20" s="398"/>
    </row>
    <row r="21" spans="1:13" ht="12" customHeight="1">
      <c r="A21" s="398"/>
      <c r="B21" s="413" t="s">
        <v>320</v>
      </c>
      <c r="C21" s="414"/>
      <c r="D21" s="414"/>
      <c r="E21" s="397" t="s">
        <v>134</v>
      </c>
      <c r="F21" s="489"/>
      <c r="G21" s="415"/>
      <c r="H21" s="133"/>
      <c r="I21" s="133"/>
      <c r="J21" s="397" t="s">
        <v>136</v>
      </c>
      <c r="K21" s="133"/>
      <c r="L21" s="76"/>
      <c r="M21" s="398"/>
    </row>
    <row r="22" spans="1:13" ht="15" customHeight="1">
      <c r="A22" s="398"/>
      <c r="B22" s="140"/>
      <c r="C22" s="414"/>
      <c r="D22" s="414"/>
      <c r="E22" s="133"/>
      <c r="F22" s="415"/>
      <c r="G22" s="415"/>
      <c r="H22" s="133"/>
      <c r="I22" s="133"/>
      <c r="J22" s="133"/>
      <c r="K22" s="133"/>
      <c r="L22" s="76"/>
      <c r="M22" s="398"/>
    </row>
    <row r="23" spans="1:13" ht="15" customHeight="1">
      <c r="A23" s="398"/>
      <c r="B23" s="140"/>
      <c r="C23" s="414"/>
      <c r="D23" s="414"/>
      <c r="E23" s="133"/>
      <c r="F23" s="415"/>
      <c r="G23" s="415"/>
      <c r="H23" s="133"/>
      <c r="I23" s="133"/>
      <c r="J23" s="133"/>
      <c r="K23" s="133"/>
      <c r="L23" s="76"/>
      <c r="M23" s="398"/>
    </row>
    <row r="24" spans="1:13" ht="15" customHeight="1">
      <c r="A24" s="398"/>
      <c r="B24" s="140"/>
      <c r="C24" s="414"/>
      <c r="D24" s="414"/>
      <c r="E24" s="133"/>
      <c r="F24" s="415"/>
      <c r="G24" s="415"/>
      <c r="H24" s="133"/>
      <c r="I24" s="133"/>
      <c r="J24" s="133"/>
      <c r="K24" s="133"/>
      <c r="L24" s="76"/>
      <c r="M24" s="398"/>
    </row>
    <row r="25" spans="1:13" ht="15" customHeight="1">
      <c r="A25" s="398"/>
      <c r="B25" s="140"/>
      <c r="C25" s="414"/>
      <c r="D25" s="414"/>
      <c r="E25" s="133"/>
      <c r="F25" s="415"/>
      <c r="G25" s="415"/>
      <c r="H25" s="133"/>
      <c r="I25" s="133"/>
      <c r="J25" s="133"/>
      <c r="K25" s="133"/>
      <c r="L25" s="76"/>
      <c r="M25" s="398"/>
    </row>
    <row r="26" spans="1:13" ht="15" customHeight="1">
      <c r="A26" s="398"/>
      <c r="B26" s="138"/>
      <c r="C26" s="133"/>
      <c r="D26" s="133"/>
      <c r="E26" s="133"/>
      <c r="F26" s="133"/>
      <c r="G26" s="133"/>
      <c r="H26" s="133"/>
      <c r="I26" s="133"/>
      <c r="J26" s="133"/>
      <c r="K26" s="133"/>
      <c r="L26" s="76"/>
      <c r="M26" s="398"/>
    </row>
    <row r="27" spans="1:13" ht="15" customHeight="1">
      <c r="A27" s="398"/>
      <c r="B27" s="138"/>
      <c r="C27" s="133"/>
      <c r="D27" s="133"/>
      <c r="E27" s="133"/>
      <c r="F27" s="133"/>
      <c r="G27" s="133"/>
      <c r="H27" s="133"/>
      <c r="I27" s="133"/>
      <c r="J27" s="133"/>
      <c r="K27" s="133"/>
      <c r="L27" s="76"/>
      <c r="M27" s="398"/>
    </row>
    <row r="28" spans="1:13" ht="15" customHeight="1">
      <c r="A28" s="398"/>
      <c r="B28" s="138"/>
      <c r="C28" s="133"/>
      <c r="D28" s="133"/>
      <c r="E28" s="133"/>
      <c r="F28" s="133"/>
      <c r="G28" s="133"/>
      <c r="H28" s="133"/>
      <c r="I28" s="133"/>
      <c r="J28" s="133"/>
      <c r="K28" s="133"/>
      <c r="L28" s="76"/>
      <c r="M28" s="398"/>
    </row>
    <row r="29" spans="1:13" ht="15" customHeight="1">
      <c r="A29" s="398"/>
      <c r="B29" s="138"/>
      <c r="C29" s="133"/>
      <c r="D29" s="133"/>
      <c r="E29" s="133"/>
      <c r="F29" s="133"/>
      <c r="G29" s="133"/>
      <c r="H29" s="133"/>
      <c r="I29" s="133"/>
      <c r="J29" s="133"/>
      <c r="K29" s="133"/>
      <c r="L29" s="76"/>
      <c r="M29" s="398"/>
    </row>
    <row r="30" spans="1:13" ht="15" customHeight="1">
      <c r="A30" s="398"/>
      <c r="B30" s="138"/>
      <c r="C30" s="133"/>
      <c r="D30" s="133"/>
      <c r="E30" s="133"/>
      <c r="F30" s="133"/>
      <c r="G30" s="133"/>
      <c r="H30" s="133"/>
      <c r="I30" s="133"/>
      <c r="J30" s="133"/>
      <c r="K30" s="133"/>
      <c r="L30" s="76"/>
      <c r="M30" s="398"/>
    </row>
    <row r="31" spans="1:13" ht="15" customHeight="1">
      <c r="A31" s="398"/>
      <c r="B31" s="138"/>
      <c r="C31" s="133"/>
      <c r="D31" s="133"/>
      <c r="E31" s="133"/>
      <c r="F31" s="133"/>
      <c r="G31" s="133"/>
      <c r="H31" s="133"/>
      <c r="I31" s="133"/>
      <c r="J31" s="133"/>
      <c r="K31" s="133"/>
      <c r="L31" s="76"/>
      <c r="M31" s="398"/>
    </row>
    <row r="32" spans="1:13" ht="15" customHeight="1">
      <c r="A32" s="398"/>
      <c r="B32" s="138"/>
      <c r="C32" s="133"/>
      <c r="D32" s="133"/>
      <c r="E32" s="133"/>
      <c r="F32" s="133"/>
      <c r="G32" s="133"/>
      <c r="H32" s="133"/>
      <c r="I32" s="133"/>
      <c r="J32" s="133"/>
      <c r="K32" s="133"/>
      <c r="L32" s="76"/>
      <c r="M32" s="398"/>
    </row>
    <row r="33" spans="1:13" ht="15" customHeight="1">
      <c r="A33" s="398"/>
      <c r="B33" s="417"/>
      <c r="C33" s="112"/>
      <c r="D33" s="112"/>
      <c r="E33" s="112"/>
      <c r="F33" s="112"/>
      <c r="G33" s="112"/>
      <c r="H33" s="112"/>
      <c r="I33" s="112"/>
      <c r="J33" s="112"/>
      <c r="K33" s="112"/>
      <c r="L33" s="418"/>
      <c r="M33" s="398"/>
    </row>
    <row r="34" spans="1:13" ht="15" customHeight="1">
      <c r="A34" s="398"/>
      <c r="B34" s="400"/>
      <c r="C34" s="400"/>
      <c r="D34" s="400"/>
      <c r="E34" s="400"/>
      <c r="F34" s="400"/>
      <c r="G34" s="400"/>
      <c r="H34" s="400"/>
      <c r="I34" s="400"/>
      <c r="J34" s="400"/>
      <c r="K34" s="400"/>
      <c r="L34" s="400"/>
      <c r="M34" s="398"/>
    </row>
    <row r="35" spans="2:12" ht="14.25">
      <c r="B35" s="3"/>
      <c r="C35" s="3"/>
      <c r="D35" s="3"/>
      <c r="E35" s="3"/>
      <c r="F35" s="3"/>
      <c r="G35" s="3"/>
      <c r="H35" s="3"/>
      <c r="I35" s="3"/>
      <c r="J35" s="3"/>
      <c r="K35" s="3"/>
      <c r="L35" s="3"/>
    </row>
    <row r="36" spans="2:12" ht="14.25">
      <c r="B36" s="3"/>
      <c r="C36" s="3"/>
      <c r="D36" s="3"/>
      <c r="E36" s="3"/>
      <c r="F36" s="3"/>
      <c r="G36" s="3"/>
      <c r="H36" s="3"/>
      <c r="I36" s="3"/>
      <c r="J36" s="3"/>
      <c r="K36" s="3"/>
      <c r="L36" s="3"/>
    </row>
    <row r="37" spans="2:12" ht="14.25">
      <c r="B37" s="3"/>
      <c r="C37" s="3"/>
      <c r="D37" s="3"/>
      <c r="E37" s="3"/>
      <c r="F37" s="3"/>
      <c r="G37" s="3"/>
      <c r="H37" s="3"/>
      <c r="I37" s="3"/>
      <c r="J37" s="3"/>
      <c r="K37" s="3"/>
      <c r="L37" s="3"/>
    </row>
    <row r="38" spans="2:12" ht="14.25">
      <c r="B38" s="3"/>
      <c r="C38" s="3"/>
      <c r="D38" s="3"/>
      <c r="E38" s="3"/>
      <c r="F38" s="3"/>
      <c r="G38" s="3"/>
      <c r="H38" s="3"/>
      <c r="I38" s="3"/>
      <c r="J38" s="3"/>
      <c r="K38" s="3"/>
      <c r="L38" s="3"/>
    </row>
    <row r="39" spans="2:12" ht="14.25">
      <c r="B39" s="3"/>
      <c r="C39" s="3"/>
      <c r="D39" s="3"/>
      <c r="E39" s="3"/>
      <c r="F39" s="3"/>
      <c r="G39" s="3"/>
      <c r="H39" s="3"/>
      <c r="I39" s="3"/>
      <c r="J39" s="3"/>
      <c r="K39" s="3"/>
      <c r="L39" s="3"/>
    </row>
    <row r="40" spans="2:12" ht="14.25">
      <c r="B40" s="3"/>
      <c r="C40" s="3"/>
      <c r="D40" s="3"/>
      <c r="E40" s="3"/>
      <c r="F40" s="3"/>
      <c r="G40" s="3"/>
      <c r="H40" s="3"/>
      <c r="I40" s="3"/>
      <c r="J40" s="3"/>
      <c r="K40" s="3"/>
      <c r="L40" s="3"/>
    </row>
    <row r="41" spans="2:12" ht="14.25">
      <c r="B41" s="3"/>
      <c r="C41" s="3"/>
      <c r="D41" s="3"/>
      <c r="E41" s="3"/>
      <c r="F41" s="3"/>
      <c r="G41" s="3"/>
      <c r="H41" s="3"/>
      <c r="I41" s="3"/>
      <c r="J41" s="3"/>
      <c r="K41" s="3"/>
      <c r="L41" s="3"/>
    </row>
    <row r="42" spans="2:12" ht="14.25">
      <c r="B42" s="3"/>
      <c r="C42" s="3"/>
      <c r="D42" s="3"/>
      <c r="E42" s="3"/>
      <c r="F42" s="3"/>
      <c r="G42" s="3"/>
      <c r="H42" s="3"/>
      <c r="I42" s="3"/>
      <c r="J42" s="3"/>
      <c r="K42" s="3"/>
      <c r="L42" s="3"/>
    </row>
    <row r="43" spans="2:12" ht="14.25">
      <c r="B43" s="3"/>
      <c r="C43" s="3"/>
      <c r="D43" s="3"/>
      <c r="E43" s="3"/>
      <c r="F43" s="3"/>
      <c r="G43" s="3"/>
      <c r="H43" s="3"/>
      <c r="I43" s="3"/>
      <c r="J43" s="3"/>
      <c r="K43" s="3"/>
      <c r="L43" s="3"/>
    </row>
    <row r="44" spans="2:12" ht="14.25">
      <c r="B44" s="3"/>
      <c r="C44" s="3"/>
      <c r="D44" s="3"/>
      <c r="E44" s="3"/>
      <c r="F44" s="3"/>
      <c r="G44" s="3"/>
      <c r="H44" s="3"/>
      <c r="I44" s="3"/>
      <c r="J44" s="3"/>
      <c r="K44" s="3"/>
      <c r="L44" s="3"/>
    </row>
    <row r="45" spans="2:12" ht="14.25">
      <c r="B45" s="3"/>
      <c r="C45" s="3"/>
      <c r="D45" s="3"/>
      <c r="E45" s="3"/>
      <c r="F45" s="3"/>
      <c r="G45" s="3"/>
      <c r="H45" s="3"/>
      <c r="I45" s="3"/>
      <c r="J45" s="3"/>
      <c r="K45" s="3"/>
      <c r="L45" s="3"/>
    </row>
    <row r="46" spans="2:12" ht="14.25">
      <c r="B46" s="3"/>
      <c r="C46" s="3"/>
      <c r="D46" s="3"/>
      <c r="E46" s="3"/>
      <c r="F46" s="3"/>
      <c r="G46" s="3"/>
      <c r="H46" s="3"/>
      <c r="I46" s="3"/>
      <c r="J46" s="3"/>
      <c r="K46" s="3"/>
      <c r="L46" s="3"/>
    </row>
    <row r="47" spans="2:12" ht="14.25">
      <c r="B47" s="3"/>
      <c r="C47" s="3"/>
      <c r="D47" s="3"/>
      <c r="E47" s="3"/>
      <c r="F47" s="3"/>
      <c r="G47" s="3"/>
      <c r="H47" s="3"/>
      <c r="I47" s="3"/>
      <c r="J47" s="3"/>
      <c r="K47" s="3"/>
      <c r="L47" s="3"/>
    </row>
    <row r="48" spans="2:12" ht="14.25">
      <c r="B48" s="3"/>
      <c r="C48" s="3"/>
      <c r="D48" s="3"/>
      <c r="E48" s="3"/>
      <c r="F48" s="3"/>
      <c r="G48" s="3"/>
      <c r="H48" s="3"/>
      <c r="I48" s="3"/>
      <c r="J48" s="3"/>
      <c r="K48" s="3"/>
      <c r="L48" s="3"/>
    </row>
    <row r="49" spans="2:12" ht="14.25">
      <c r="B49" s="3"/>
      <c r="C49" s="3"/>
      <c r="D49" s="3"/>
      <c r="E49" s="3"/>
      <c r="F49" s="3"/>
      <c r="G49" s="3"/>
      <c r="H49" s="3"/>
      <c r="I49" s="3"/>
      <c r="J49" s="3"/>
      <c r="K49" s="3"/>
      <c r="L49" s="3"/>
    </row>
    <row r="50" spans="2:12" ht="14.25">
      <c r="B50" s="3"/>
      <c r="C50" s="3"/>
      <c r="D50" s="3"/>
      <c r="E50" s="3"/>
      <c r="F50" s="3"/>
      <c r="G50" s="3"/>
      <c r="H50" s="3"/>
      <c r="I50" s="3"/>
      <c r="J50" s="3"/>
      <c r="K50" s="3"/>
      <c r="L50" s="3"/>
    </row>
    <row r="51" spans="2:12" ht="14.25">
      <c r="B51" s="3"/>
      <c r="C51" s="3"/>
      <c r="D51" s="3"/>
      <c r="E51" s="3"/>
      <c r="F51" s="3"/>
      <c r="G51" s="3"/>
      <c r="H51" s="3"/>
      <c r="I51" s="3"/>
      <c r="J51" s="3"/>
      <c r="K51" s="3"/>
      <c r="L51" s="3"/>
    </row>
    <row r="52" spans="2:12" ht="14.25">
      <c r="B52" s="3"/>
      <c r="C52" s="3"/>
      <c r="D52" s="3"/>
      <c r="E52" s="3"/>
      <c r="F52" s="3"/>
      <c r="G52" s="3"/>
      <c r="H52" s="3"/>
      <c r="I52" s="3"/>
      <c r="J52" s="3"/>
      <c r="K52" s="3"/>
      <c r="L52" s="3"/>
    </row>
    <row r="53" spans="2:12" ht="14.25">
      <c r="B53" s="3"/>
      <c r="C53" s="3"/>
      <c r="D53" s="3"/>
      <c r="E53" s="3"/>
      <c r="F53" s="3"/>
      <c r="G53" s="3"/>
      <c r="H53" s="3"/>
      <c r="I53" s="3"/>
      <c r="J53" s="3"/>
      <c r="K53" s="3"/>
      <c r="L53" s="3"/>
    </row>
    <row r="54" spans="2:12" ht="14.25">
      <c r="B54" s="3"/>
      <c r="C54" s="3"/>
      <c r="D54" s="3"/>
      <c r="E54" s="3"/>
      <c r="F54" s="3"/>
      <c r="G54" s="3"/>
      <c r="H54" s="3"/>
      <c r="I54" s="3"/>
      <c r="J54" s="3"/>
      <c r="K54" s="3"/>
      <c r="L54" s="3"/>
    </row>
    <row r="55" spans="2:12" ht="14.25">
      <c r="B55" s="3"/>
      <c r="C55" s="3"/>
      <c r="D55" s="3"/>
      <c r="E55" s="3"/>
      <c r="F55" s="3"/>
      <c r="G55" s="3"/>
      <c r="H55" s="3"/>
      <c r="I55" s="3"/>
      <c r="J55" s="3"/>
      <c r="K55" s="3"/>
      <c r="L55" s="3"/>
    </row>
    <row r="56" spans="2:12" ht="14.25">
      <c r="B56" s="3"/>
      <c r="C56" s="3"/>
      <c r="D56" s="3"/>
      <c r="E56" s="3"/>
      <c r="F56" s="3"/>
      <c r="G56" s="3"/>
      <c r="H56" s="3"/>
      <c r="I56" s="3"/>
      <c r="J56" s="3"/>
      <c r="K56" s="3"/>
      <c r="L56" s="3"/>
    </row>
    <row r="57" spans="2:12" ht="14.25">
      <c r="B57" s="3"/>
      <c r="C57" s="3"/>
      <c r="D57" s="3"/>
      <c r="E57" s="3"/>
      <c r="F57" s="3"/>
      <c r="G57" s="3"/>
      <c r="H57" s="3"/>
      <c r="I57" s="3"/>
      <c r="J57" s="3"/>
      <c r="K57" s="3"/>
      <c r="L57" s="3"/>
    </row>
    <row r="58" spans="2:12" ht="14.25">
      <c r="B58" s="3"/>
      <c r="C58" s="3"/>
      <c r="D58" s="3"/>
      <c r="E58" s="3"/>
      <c r="F58" s="3"/>
      <c r="G58" s="3"/>
      <c r="H58" s="3"/>
      <c r="I58" s="3"/>
      <c r="J58" s="3"/>
      <c r="K58" s="3"/>
      <c r="L58" s="3"/>
    </row>
    <row r="59" spans="2:12" ht="14.25">
      <c r="B59" s="3"/>
      <c r="C59" s="3"/>
      <c r="D59" s="3"/>
      <c r="E59" s="3"/>
      <c r="F59" s="3"/>
      <c r="G59" s="3"/>
      <c r="H59" s="3"/>
      <c r="I59" s="3"/>
      <c r="J59" s="3"/>
      <c r="K59" s="3"/>
      <c r="L59" s="3"/>
    </row>
    <row r="60" spans="2:12" ht="14.25">
      <c r="B60" s="3"/>
      <c r="C60" s="3"/>
      <c r="D60" s="3"/>
      <c r="E60" s="3"/>
      <c r="F60" s="3"/>
      <c r="G60" s="3"/>
      <c r="H60" s="3"/>
      <c r="I60" s="3"/>
      <c r="J60" s="3"/>
      <c r="K60" s="3"/>
      <c r="L60" s="3"/>
    </row>
    <row r="61" spans="2:12" ht="14.25">
      <c r="B61" s="3"/>
      <c r="C61" s="3"/>
      <c r="D61" s="3"/>
      <c r="E61" s="3"/>
      <c r="F61" s="3"/>
      <c r="G61" s="3"/>
      <c r="H61" s="3"/>
      <c r="I61" s="3"/>
      <c r="J61" s="3"/>
      <c r="K61" s="3"/>
      <c r="L61" s="3"/>
    </row>
    <row r="62" spans="2:12" ht="14.25">
      <c r="B62" s="3"/>
      <c r="C62" s="3"/>
      <c r="D62" s="3"/>
      <c r="E62" s="3"/>
      <c r="F62" s="3"/>
      <c r="G62" s="3"/>
      <c r="H62" s="3"/>
      <c r="I62" s="3"/>
      <c r="J62" s="3"/>
      <c r="K62" s="3"/>
      <c r="L62" s="3"/>
    </row>
    <row r="63" spans="2:12" ht="14.25">
      <c r="B63" s="3"/>
      <c r="C63" s="3"/>
      <c r="D63" s="3"/>
      <c r="E63" s="3"/>
      <c r="F63" s="3"/>
      <c r="G63" s="3"/>
      <c r="H63" s="3"/>
      <c r="I63" s="3"/>
      <c r="J63" s="3"/>
      <c r="K63" s="3"/>
      <c r="L63" s="3"/>
    </row>
    <row r="64" spans="2:12" ht="14.25">
      <c r="B64" s="3"/>
      <c r="C64" s="3"/>
      <c r="D64" s="3"/>
      <c r="E64" s="3"/>
      <c r="F64" s="3"/>
      <c r="G64" s="3"/>
      <c r="H64" s="3"/>
      <c r="I64" s="3"/>
      <c r="J64" s="3"/>
      <c r="K64" s="3"/>
      <c r="L64" s="3"/>
    </row>
    <row r="65" spans="2:12" ht="14.25">
      <c r="B65" s="3"/>
      <c r="C65" s="3"/>
      <c r="D65" s="3"/>
      <c r="E65" s="3"/>
      <c r="F65" s="3"/>
      <c r="G65" s="3"/>
      <c r="H65" s="3"/>
      <c r="I65" s="3"/>
      <c r="J65" s="3"/>
      <c r="K65" s="3"/>
      <c r="L65" s="3"/>
    </row>
    <row r="66" spans="2:12" ht="14.25">
      <c r="B66" s="3"/>
      <c r="C66" s="3"/>
      <c r="D66" s="3"/>
      <c r="E66" s="3"/>
      <c r="F66" s="3"/>
      <c r="G66" s="3"/>
      <c r="H66" s="3"/>
      <c r="I66" s="3"/>
      <c r="J66" s="3"/>
      <c r="K66" s="3"/>
      <c r="L66" s="3"/>
    </row>
    <row r="67" spans="2:12" ht="14.25">
      <c r="B67" s="3"/>
      <c r="C67" s="3"/>
      <c r="D67" s="3"/>
      <c r="E67" s="3"/>
      <c r="F67" s="3"/>
      <c r="G67" s="3"/>
      <c r="H67" s="3"/>
      <c r="I67" s="3"/>
      <c r="J67" s="3"/>
      <c r="K67" s="3"/>
      <c r="L67" s="3"/>
    </row>
    <row r="68" spans="2:12" ht="14.25">
      <c r="B68" s="3"/>
      <c r="C68" s="3"/>
      <c r="D68" s="3"/>
      <c r="E68" s="3"/>
      <c r="F68" s="3"/>
      <c r="G68" s="3"/>
      <c r="H68" s="3"/>
      <c r="I68" s="3"/>
      <c r="J68" s="3"/>
      <c r="K68" s="3"/>
      <c r="L68" s="3"/>
    </row>
    <row r="69" spans="2:12" ht="14.25">
      <c r="B69" s="3"/>
      <c r="C69" s="3"/>
      <c r="D69" s="3"/>
      <c r="E69" s="3"/>
      <c r="F69" s="3"/>
      <c r="G69" s="3"/>
      <c r="H69" s="3"/>
      <c r="I69" s="3"/>
      <c r="J69" s="3"/>
      <c r="K69" s="3"/>
      <c r="L69" s="3"/>
    </row>
    <row r="70" spans="2:12" ht="14.25">
      <c r="B70" s="3"/>
      <c r="C70" s="3"/>
      <c r="D70" s="3"/>
      <c r="E70" s="3"/>
      <c r="F70" s="3"/>
      <c r="G70" s="3"/>
      <c r="H70" s="3"/>
      <c r="I70" s="3"/>
      <c r="J70" s="3"/>
      <c r="K70" s="3"/>
      <c r="L70" s="3"/>
    </row>
    <row r="71" spans="2:12" ht="14.25">
      <c r="B71" s="3"/>
      <c r="C71" s="3"/>
      <c r="D71" s="3"/>
      <c r="E71" s="3"/>
      <c r="F71" s="3"/>
      <c r="G71" s="3"/>
      <c r="H71" s="3"/>
      <c r="I71" s="3"/>
      <c r="J71" s="3"/>
      <c r="K71" s="3"/>
      <c r="L71" s="3"/>
    </row>
    <row r="72" spans="2:12" ht="14.25">
      <c r="B72" s="3"/>
      <c r="C72" s="3"/>
      <c r="D72" s="3"/>
      <c r="E72" s="3"/>
      <c r="F72" s="3"/>
      <c r="G72" s="3"/>
      <c r="H72" s="3"/>
      <c r="I72" s="3"/>
      <c r="J72" s="3"/>
      <c r="K72" s="3"/>
      <c r="L72" s="3"/>
    </row>
    <row r="73" spans="2:12" ht="14.25">
      <c r="B73" s="3"/>
      <c r="C73" s="3"/>
      <c r="D73" s="3"/>
      <c r="E73" s="3"/>
      <c r="F73" s="3"/>
      <c r="G73" s="3"/>
      <c r="H73" s="3"/>
      <c r="I73" s="3"/>
      <c r="J73" s="3"/>
      <c r="K73" s="3"/>
      <c r="L73" s="3"/>
    </row>
    <row r="74" spans="2:12" ht="14.25">
      <c r="B74" s="3"/>
      <c r="C74" s="3"/>
      <c r="D74" s="3"/>
      <c r="E74" s="3"/>
      <c r="F74" s="3"/>
      <c r="G74" s="3"/>
      <c r="H74" s="3"/>
      <c r="I74" s="3"/>
      <c r="J74" s="3"/>
      <c r="K74" s="3"/>
      <c r="L74" s="3"/>
    </row>
    <row r="75" spans="2:12" ht="14.25">
      <c r="B75" s="3"/>
      <c r="C75" s="3"/>
      <c r="D75" s="3"/>
      <c r="E75" s="3"/>
      <c r="F75" s="3"/>
      <c r="G75" s="3"/>
      <c r="H75" s="3"/>
      <c r="I75" s="3"/>
      <c r="J75" s="3"/>
      <c r="K75" s="3"/>
      <c r="L75" s="3"/>
    </row>
    <row r="76" spans="2:12" ht="14.25">
      <c r="B76" s="3"/>
      <c r="C76" s="3"/>
      <c r="D76" s="3"/>
      <c r="E76" s="3"/>
      <c r="F76" s="3"/>
      <c r="G76" s="3"/>
      <c r="H76" s="3"/>
      <c r="I76" s="3"/>
      <c r="J76" s="3"/>
      <c r="K76" s="3"/>
      <c r="L76" s="3"/>
    </row>
    <row r="77" spans="2:12" ht="14.25">
      <c r="B77" s="3"/>
      <c r="C77" s="3"/>
      <c r="D77" s="3"/>
      <c r="E77" s="3"/>
      <c r="F77" s="3"/>
      <c r="G77" s="3"/>
      <c r="H77" s="3"/>
      <c r="I77" s="3"/>
      <c r="J77" s="3"/>
      <c r="K77" s="3"/>
      <c r="L77" s="3"/>
    </row>
    <row r="78" spans="2:12" ht="14.25">
      <c r="B78" s="3"/>
      <c r="C78" s="3"/>
      <c r="D78" s="3"/>
      <c r="E78" s="3"/>
      <c r="F78" s="3"/>
      <c r="G78" s="3"/>
      <c r="H78" s="3"/>
      <c r="I78" s="3"/>
      <c r="J78" s="3"/>
      <c r="K78" s="3"/>
      <c r="L78" s="3"/>
    </row>
    <row r="79" spans="2:12" ht="14.25">
      <c r="B79" s="3"/>
      <c r="C79" s="3"/>
      <c r="D79" s="3"/>
      <c r="E79" s="3"/>
      <c r="F79" s="3"/>
      <c r="G79" s="3"/>
      <c r="H79" s="3"/>
      <c r="I79" s="3"/>
      <c r="J79" s="3"/>
      <c r="K79" s="3"/>
      <c r="L79" s="3"/>
    </row>
    <row r="80" spans="2:12" ht="14.25">
      <c r="B80" s="3"/>
      <c r="C80" s="3"/>
      <c r="D80" s="3"/>
      <c r="E80" s="3"/>
      <c r="F80" s="3"/>
      <c r="G80" s="3"/>
      <c r="H80" s="3"/>
      <c r="I80" s="3"/>
      <c r="J80" s="3"/>
      <c r="K80" s="3"/>
      <c r="L80" s="3"/>
    </row>
    <row r="81" spans="2:12" ht="14.25">
      <c r="B81" s="3"/>
      <c r="C81" s="3"/>
      <c r="D81" s="3"/>
      <c r="E81" s="3"/>
      <c r="F81" s="3"/>
      <c r="G81" s="3"/>
      <c r="H81" s="3"/>
      <c r="I81" s="3"/>
      <c r="J81" s="3"/>
      <c r="K81" s="3"/>
      <c r="L81" s="3"/>
    </row>
    <row r="82" spans="2:12" ht="14.25">
      <c r="B82" s="3"/>
      <c r="C82" s="3"/>
      <c r="D82" s="3"/>
      <c r="E82" s="3"/>
      <c r="F82" s="3"/>
      <c r="G82" s="3"/>
      <c r="H82" s="3"/>
      <c r="I82" s="3"/>
      <c r="J82" s="3"/>
      <c r="K82" s="3"/>
      <c r="L82" s="3"/>
    </row>
    <row r="83" spans="2:12" ht="14.25">
      <c r="B83" s="3"/>
      <c r="C83" s="3"/>
      <c r="D83" s="3"/>
      <c r="E83" s="3"/>
      <c r="F83" s="3"/>
      <c r="G83" s="3"/>
      <c r="H83" s="3"/>
      <c r="I83" s="3"/>
      <c r="J83" s="3"/>
      <c r="K83" s="3"/>
      <c r="L83" s="3"/>
    </row>
    <row r="84" spans="2:12" ht="14.25">
      <c r="B84" s="3"/>
      <c r="C84" s="3"/>
      <c r="D84" s="3"/>
      <c r="E84" s="3"/>
      <c r="F84" s="3"/>
      <c r="G84" s="3"/>
      <c r="H84" s="3"/>
      <c r="I84" s="3"/>
      <c r="J84" s="3"/>
      <c r="K84" s="3"/>
      <c r="L84" s="3"/>
    </row>
    <row r="85" spans="2:12" ht="14.25">
      <c r="B85" s="3"/>
      <c r="C85" s="3"/>
      <c r="D85" s="3"/>
      <c r="E85" s="3"/>
      <c r="F85" s="3"/>
      <c r="G85" s="3"/>
      <c r="H85" s="3"/>
      <c r="I85" s="3"/>
      <c r="J85" s="3"/>
      <c r="K85" s="3"/>
      <c r="L85" s="3"/>
    </row>
    <row r="86" spans="2:12" ht="14.25">
      <c r="B86" s="3"/>
      <c r="C86" s="3"/>
      <c r="D86" s="3"/>
      <c r="E86" s="3"/>
      <c r="F86" s="3"/>
      <c r="G86" s="3"/>
      <c r="H86" s="3"/>
      <c r="I86" s="3"/>
      <c r="J86" s="3"/>
      <c r="K86" s="3"/>
      <c r="L86" s="3"/>
    </row>
    <row r="87" spans="2:12" ht="14.25">
      <c r="B87" s="3"/>
      <c r="C87" s="3"/>
      <c r="D87" s="3"/>
      <c r="E87" s="3"/>
      <c r="F87" s="3"/>
      <c r="G87" s="3"/>
      <c r="H87" s="3"/>
      <c r="I87" s="3"/>
      <c r="J87" s="3"/>
      <c r="K87" s="3"/>
      <c r="L87" s="3"/>
    </row>
    <row r="88" spans="2:12" ht="14.25">
      <c r="B88" s="3"/>
      <c r="C88" s="3"/>
      <c r="D88" s="3"/>
      <c r="E88" s="3"/>
      <c r="F88" s="3"/>
      <c r="G88" s="3"/>
      <c r="H88" s="3"/>
      <c r="I88" s="3"/>
      <c r="J88" s="3"/>
      <c r="K88" s="3"/>
      <c r="L88" s="3"/>
    </row>
    <row r="89" spans="2:12" ht="14.25">
      <c r="B89" s="3"/>
      <c r="C89" s="3"/>
      <c r="D89" s="3"/>
      <c r="E89" s="3"/>
      <c r="F89" s="3"/>
      <c r="G89" s="3"/>
      <c r="H89" s="3"/>
      <c r="I89" s="3"/>
      <c r="J89" s="3"/>
      <c r="K89" s="3"/>
      <c r="L89" s="3"/>
    </row>
    <row r="90" spans="2:12" ht="14.25">
      <c r="B90" s="3"/>
      <c r="C90" s="3"/>
      <c r="D90" s="3"/>
      <c r="E90" s="3"/>
      <c r="F90" s="3"/>
      <c r="G90" s="3"/>
      <c r="H90" s="3"/>
      <c r="I90" s="3"/>
      <c r="J90" s="3"/>
      <c r="K90" s="3"/>
      <c r="L90" s="3"/>
    </row>
    <row r="91" spans="2:12" ht="14.25">
      <c r="B91" s="3"/>
      <c r="C91" s="3"/>
      <c r="D91" s="3"/>
      <c r="E91" s="3"/>
      <c r="F91" s="3"/>
      <c r="G91" s="3"/>
      <c r="H91" s="3"/>
      <c r="I91" s="3"/>
      <c r="J91" s="3"/>
      <c r="K91" s="3"/>
      <c r="L91" s="3"/>
    </row>
  </sheetData>
  <sheetProtection/>
  <mergeCells count="6">
    <mergeCell ref="A1:M1"/>
    <mergeCell ref="B2:L2"/>
    <mergeCell ref="C4:E4"/>
    <mergeCell ref="F4:H4"/>
    <mergeCell ref="I4:J4"/>
    <mergeCell ref="K4:L4"/>
  </mergeCells>
  <printOptions horizontalCentered="1"/>
  <pageMargins left="0.5118110236220472" right="0.5118110236220472" top="0.7874015748031497" bottom="0.7874015748031497" header="0.31496062992125984" footer="0.31496062992125984"/>
  <pageSetup horizontalDpi="600" verticalDpi="600" orientation="landscape" paperSize="9" r:id="rId2"/>
  <drawing r:id="rId1"/>
</worksheet>
</file>

<file path=xl/worksheets/sheet21.xml><?xml version="1.0" encoding="utf-8"?>
<worksheet xmlns="http://schemas.openxmlformats.org/spreadsheetml/2006/main" xmlns:r="http://schemas.openxmlformats.org/officeDocument/2006/relationships">
  <dimension ref="A1:M91"/>
  <sheetViews>
    <sheetView zoomScalePageLayoutView="0" workbookViewId="0" topLeftCell="A1">
      <selection activeCell="N32" sqref="N32"/>
    </sheetView>
  </sheetViews>
  <sheetFormatPr defaultColWidth="11.421875" defaultRowHeight="12.75"/>
  <cols>
    <col min="1" max="1" width="2.7109375" style="2" customWidth="1"/>
    <col min="2" max="2" width="15.421875" style="2" customWidth="1"/>
    <col min="3" max="3" width="11.28125" style="2" bestFit="1" customWidth="1"/>
    <col min="4" max="4" width="12.28125" style="2" bestFit="1" customWidth="1"/>
    <col min="5" max="5" width="8.7109375" style="2" customWidth="1"/>
    <col min="6" max="6" width="10.7109375" style="2" customWidth="1"/>
    <col min="7" max="7" width="11.8515625" style="2" customWidth="1"/>
    <col min="8" max="8" width="8.7109375" style="2" customWidth="1"/>
    <col min="9" max="9" width="10.7109375" style="2" customWidth="1"/>
    <col min="10" max="10" width="13.7109375" style="2" customWidth="1"/>
    <col min="11" max="11" width="10.7109375" style="2" customWidth="1"/>
    <col min="12" max="12" width="13.7109375" style="2" customWidth="1"/>
    <col min="13" max="13" width="2.7109375" style="2" customWidth="1"/>
    <col min="14" max="16384" width="11.421875" style="2" customWidth="1"/>
  </cols>
  <sheetData>
    <row r="1" spans="1:13" ht="15" customHeight="1">
      <c r="A1" s="1430" t="s">
        <v>421</v>
      </c>
      <c r="B1" s="1430"/>
      <c r="C1" s="1430"/>
      <c r="D1" s="1430"/>
      <c r="E1" s="1430"/>
      <c r="F1" s="1430"/>
      <c r="G1" s="1430"/>
      <c r="H1" s="1430"/>
      <c r="I1" s="1430"/>
      <c r="J1" s="1430"/>
      <c r="K1" s="1430"/>
      <c r="L1" s="1430"/>
      <c r="M1" s="1430"/>
    </row>
    <row r="2" spans="1:13" ht="27" customHeight="1">
      <c r="A2" s="398"/>
      <c r="B2" s="1431" t="s">
        <v>326</v>
      </c>
      <c r="C2" s="1432"/>
      <c r="D2" s="1432"/>
      <c r="E2" s="1432"/>
      <c r="F2" s="1432"/>
      <c r="G2" s="1432"/>
      <c r="H2" s="1432"/>
      <c r="I2" s="1432"/>
      <c r="J2" s="1432"/>
      <c r="K2" s="1432"/>
      <c r="L2" s="1433"/>
      <c r="M2" s="398"/>
    </row>
    <row r="3" spans="1:13" ht="13.5" customHeight="1">
      <c r="A3" s="398"/>
      <c r="B3" s="401"/>
      <c r="C3" s="402"/>
      <c r="D3" s="402"/>
      <c r="E3" s="403"/>
      <c r="F3" s="403"/>
      <c r="G3" s="403"/>
      <c r="H3" s="403"/>
      <c r="I3" s="403"/>
      <c r="J3" s="403"/>
      <c r="K3" s="403"/>
      <c r="L3" s="404"/>
      <c r="M3" s="398"/>
    </row>
    <row r="4" spans="1:13" ht="12.75" customHeight="1">
      <c r="A4" s="398"/>
      <c r="B4" s="405" t="s">
        <v>118</v>
      </c>
      <c r="C4" s="1434">
        <v>2016</v>
      </c>
      <c r="D4" s="1435"/>
      <c r="E4" s="1436"/>
      <c r="F4" s="1434">
        <v>2015</v>
      </c>
      <c r="G4" s="1435"/>
      <c r="H4" s="1436"/>
      <c r="I4" s="1434" t="s">
        <v>452</v>
      </c>
      <c r="J4" s="1436"/>
      <c r="K4" s="1434" t="s">
        <v>453</v>
      </c>
      <c r="L4" s="1436"/>
      <c r="M4" s="398"/>
    </row>
    <row r="5" spans="1:13" ht="12.75" customHeight="1">
      <c r="A5" s="398"/>
      <c r="B5" s="406"/>
      <c r="C5" s="386" t="s">
        <v>119</v>
      </c>
      <c r="D5" s="387" t="s">
        <v>120</v>
      </c>
      <c r="E5" s="840" t="s">
        <v>11</v>
      </c>
      <c r="F5" s="386" t="s">
        <v>119</v>
      </c>
      <c r="G5" s="387" t="s">
        <v>120</v>
      </c>
      <c r="H5" s="388" t="s">
        <v>11</v>
      </c>
      <c r="I5" s="389" t="s">
        <v>119</v>
      </c>
      <c r="J5" s="390" t="s">
        <v>120</v>
      </c>
      <c r="K5" s="386" t="s">
        <v>119</v>
      </c>
      <c r="L5" s="407" t="s">
        <v>120</v>
      </c>
      <c r="M5" s="398"/>
    </row>
    <row r="6" spans="1:13" ht="12.75" customHeight="1">
      <c r="A6" s="398"/>
      <c r="B6" s="735" t="s">
        <v>121</v>
      </c>
      <c r="C6" s="736">
        <v>1704.243</v>
      </c>
      <c r="D6" s="736">
        <v>17190.07</v>
      </c>
      <c r="E6" s="737">
        <f aca="true" t="shared" si="0" ref="E6:E13">(C6*1000)/D6</f>
        <v>99.14113206054425</v>
      </c>
      <c r="F6" s="736">
        <v>2615</v>
      </c>
      <c r="G6" s="736">
        <v>25696.666666666668</v>
      </c>
      <c r="H6" s="737">
        <f>(F6*1000)/G6</f>
        <v>101.76417174730834</v>
      </c>
      <c r="I6" s="391">
        <f>C6+SUM(F14:F18)</f>
        <v>12681.019</v>
      </c>
      <c r="J6" s="391">
        <f>D6+SUM(G14:G18)</f>
        <v>110919.47</v>
      </c>
      <c r="K6" s="391">
        <f>C6+SUM(F7:F18)-F13</f>
        <v>35843.01900000001</v>
      </c>
      <c r="L6" s="1226">
        <f>D6+SUM(G7:G18)-G13</f>
        <v>274416.13666666666</v>
      </c>
      <c r="M6" s="803"/>
    </row>
    <row r="7" spans="1:13" ht="12.75" customHeight="1">
      <c r="A7" s="398"/>
      <c r="B7" s="738" t="s">
        <v>122</v>
      </c>
      <c r="C7" s="736">
        <v>2375.075</v>
      </c>
      <c r="D7" s="736">
        <v>20005.36</v>
      </c>
      <c r="E7" s="739">
        <f t="shared" si="0"/>
        <v>118.72193252208407</v>
      </c>
      <c r="F7" s="736">
        <v>3503</v>
      </c>
      <c r="G7" s="736">
        <v>24613.333333333332</v>
      </c>
      <c r="H7" s="739">
        <f>(F7*1000)/G7</f>
        <v>142.32123510292524</v>
      </c>
      <c r="I7" s="391">
        <f>SUM(C6:C7)+SUM(F15:F18)</f>
        <v>13003.217999999999</v>
      </c>
      <c r="J7" s="391">
        <f>SUM(D6+D7)+SUM(G15:G18)</f>
        <v>114420.82999999999</v>
      </c>
      <c r="K7" s="391">
        <f>SUM(C6+C7)+SUM(F8:F18)-F13</f>
        <v>34715.094000000005</v>
      </c>
      <c r="L7" s="409">
        <f>SUM(D6+D7)+SUM(G8:G18)-G13</f>
        <v>269808.1633333333</v>
      </c>
      <c r="M7" s="398"/>
    </row>
    <row r="8" spans="1:13" ht="12.75" customHeight="1">
      <c r="A8" s="398"/>
      <c r="B8" s="738" t="s">
        <v>123</v>
      </c>
      <c r="C8" s="736">
        <v>2992.078</v>
      </c>
      <c r="D8" s="736">
        <v>22923.373</v>
      </c>
      <c r="E8" s="739">
        <f t="shared" si="0"/>
        <v>130.52520673986328</v>
      </c>
      <c r="F8" s="736">
        <v>3664</v>
      </c>
      <c r="G8" s="736">
        <v>21926.666666666668</v>
      </c>
      <c r="H8" s="739">
        <f aca="true" t="shared" si="1" ref="H8:H17">(F8*1000)/G8</f>
        <v>167.10246275463666</v>
      </c>
      <c r="I8" s="1153">
        <f>SUM(C6:C8)+SUM(F16:F18)</f>
        <v>14343.295999999998</v>
      </c>
      <c r="J8" s="391">
        <f>SUM(D6:D8)+SUM(G16:G18)</f>
        <v>123208.343</v>
      </c>
      <c r="K8" s="391">
        <f>SUM(C6:C8)+SUM(F9:F18)-F13</f>
        <v>34043.172000000006</v>
      </c>
      <c r="L8" s="409">
        <f>SUM(D6:D8)+SUM(G9:G18)-G13</f>
        <v>270804.86966666667</v>
      </c>
      <c r="M8" s="398"/>
    </row>
    <row r="9" spans="1:13" ht="12.75" customHeight="1">
      <c r="A9" s="398"/>
      <c r="B9" s="738" t="s">
        <v>124</v>
      </c>
      <c r="C9" s="736">
        <v>4727.608</v>
      </c>
      <c r="D9" s="736">
        <v>41200.92</v>
      </c>
      <c r="E9" s="739">
        <f t="shared" si="0"/>
        <v>114.74520471872958</v>
      </c>
      <c r="F9" s="736">
        <v>4108</v>
      </c>
      <c r="G9" s="736">
        <v>26433.333333333332</v>
      </c>
      <c r="H9" s="739">
        <f t="shared" si="1"/>
        <v>155.40983606557378</v>
      </c>
      <c r="I9" s="391">
        <f>SUM(C6:C9)+SUM(F17+F18)</f>
        <v>16362.004</v>
      </c>
      <c r="J9" s="391">
        <f>SUM(D6:D9)+SUM(G17:G18)</f>
        <v>139886.723</v>
      </c>
      <c r="K9" s="391">
        <f>SUM(C6:C9)+SUM(F10:F18)-F13</f>
        <v>34662.780000000006</v>
      </c>
      <c r="L9" s="409">
        <f>SUM(D6:D9)+SUM(G10:G18)-G13</f>
        <v>285572.4563333333</v>
      </c>
      <c r="M9" s="398"/>
    </row>
    <row r="10" spans="1:13" ht="12.75" customHeight="1">
      <c r="A10" s="398"/>
      <c r="B10" s="738" t="s">
        <v>125</v>
      </c>
      <c r="C10" s="736">
        <v>5498.431</v>
      </c>
      <c r="D10" s="736">
        <v>40746.747</v>
      </c>
      <c r="E10" s="739">
        <f t="shared" si="0"/>
        <v>134.94159423327707</v>
      </c>
      <c r="F10" s="736">
        <v>4077</v>
      </c>
      <c r="G10" s="736">
        <v>28123.333333333332</v>
      </c>
      <c r="H10" s="739">
        <f t="shared" si="1"/>
        <v>144.9685907313026</v>
      </c>
      <c r="I10" s="391">
        <f>SUM(C6:C10)+F18</f>
        <v>19772.435</v>
      </c>
      <c r="J10" s="391">
        <f>SUM(D6:D10)+G18</f>
        <v>162606.47</v>
      </c>
      <c r="K10" s="391">
        <f>SUM(C6:C10)+SUM(F11:F18)-F13</f>
        <v>36084.21100000001</v>
      </c>
      <c r="L10" s="409">
        <f>SUM(D6:D10)+SUM(G11:G18)-G13</f>
        <v>298195.86999999994</v>
      </c>
      <c r="M10" s="398"/>
    </row>
    <row r="11" spans="1:13" ht="12.75" customHeight="1">
      <c r="A11" s="398"/>
      <c r="B11" s="738" t="s">
        <v>126</v>
      </c>
      <c r="C11" s="736">
        <v>4304.277</v>
      </c>
      <c r="D11" s="736">
        <v>38334.87</v>
      </c>
      <c r="E11" s="739">
        <f t="shared" si="0"/>
        <v>112.28098595351959</v>
      </c>
      <c r="F11" s="736">
        <v>4392</v>
      </c>
      <c r="G11" s="736">
        <v>32890</v>
      </c>
      <c r="H11" s="739">
        <f t="shared" si="1"/>
        <v>133.5360291882031</v>
      </c>
      <c r="I11" s="391">
        <f>SUM(C6:C11)</f>
        <v>21601.712</v>
      </c>
      <c r="J11" s="391">
        <f>SUM(D6:D11)</f>
        <v>180401.34</v>
      </c>
      <c r="K11" s="391">
        <f>SUM(C6:C11)+SUM(F14:F18)+F12</f>
        <v>35996.488</v>
      </c>
      <c r="L11" s="409">
        <f>SUM(D6:D11)+SUM(G14:G18)+G12</f>
        <v>303640.74</v>
      </c>
      <c r="M11" s="398"/>
    </row>
    <row r="12" spans="1:13" ht="12.75" customHeight="1">
      <c r="A12" s="398"/>
      <c r="B12" s="738" t="s">
        <v>128</v>
      </c>
      <c r="C12" s="736">
        <v>3420.341</v>
      </c>
      <c r="D12" s="736">
        <v>29733.99</v>
      </c>
      <c r="E12" s="739">
        <f t="shared" si="0"/>
        <v>115.03134964395966</v>
      </c>
      <c r="F12" s="736">
        <v>3418</v>
      </c>
      <c r="G12" s="736">
        <v>29510</v>
      </c>
      <c r="H12" s="739">
        <f>(F12*1000)/G12</f>
        <v>115.82514401897662</v>
      </c>
      <c r="I12" s="394">
        <f>SUM(C7:C12)</f>
        <v>23317.809999999998</v>
      </c>
      <c r="J12" s="392">
        <f>SUM(D7:D12)</f>
        <v>192945.25999999998</v>
      </c>
      <c r="K12" s="392">
        <f>SUM(C6:C12)+SUM(F14:F18)</f>
        <v>35998.829</v>
      </c>
      <c r="L12" s="410">
        <f>SUM(D6:D12)+SUM(G14:G18)</f>
        <v>303864.73</v>
      </c>
      <c r="M12" s="398"/>
    </row>
    <row r="13" spans="1:13" ht="12.75" customHeight="1">
      <c r="A13" s="398"/>
      <c r="B13" s="744" t="s">
        <v>471</v>
      </c>
      <c r="C13" s="839">
        <f>SUM(C6:C12)</f>
        <v>25022.053</v>
      </c>
      <c r="D13" s="839">
        <f>SUM(D6:D12)</f>
        <v>210135.33</v>
      </c>
      <c r="E13" s="396">
        <f t="shared" si="0"/>
        <v>119.07589742286555</v>
      </c>
      <c r="F13" s="839">
        <f>SUM(F6:F12)</f>
        <v>25777</v>
      </c>
      <c r="G13" s="839">
        <f>SUM(G6:G12)</f>
        <v>189193.3333333333</v>
      </c>
      <c r="H13" s="396">
        <f t="shared" si="1"/>
        <v>136.24687268755068</v>
      </c>
      <c r="I13" s="391"/>
      <c r="J13" s="391"/>
      <c r="K13" s="391"/>
      <c r="L13" s="409"/>
      <c r="M13" s="398"/>
    </row>
    <row r="14" spans="1:13" ht="12.75" customHeight="1">
      <c r="A14" s="398"/>
      <c r="B14" s="738" t="s">
        <v>129</v>
      </c>
      <c r="C14" s="736"/>
      <c r="D14" s="736"/>
      <c r="E14" s="739"/>
      <c r="F14" s="736">
        <v>2052.876</v>
      </c>
      <c r="G14" s="736">
        <v>16504</v>
      </c>
      <c r="H14" s="739">
        <f t="shared" si="1"/>
        <v>124.38657295201165</v>
      </c>
      <c r="I14" s="391"/>
      <c r="J14" s="391"/>
      <c r="K14" s="391"/>
      <c r="L14" s="409"/>
      <c r="M14" s="398"/>
    </row>
    <row r="15" spans="1:13" ht="12.75" customHeight="1">
      <c r="A15" s="398"/>
      <c r="B15" s="738" t="s">
        <v>130</v>
      </c>
      <c r="C15" s="736"/>
      <c r="D15" s="736"/>
      <c r="E15" s="739"/>
      <c r="F15" s="736">
        <v>1652</v>
      </c>
      <c r="G15" s="736">
        <v>14135.86</v>
      </c>
      <c r="H15" s="739">
        <f t="shared" si="1"/>
        <v>116.8658999169488</v>
      </c>
      <c r="I15" s="391"/>
      <c r="J15" s="391"/>
      <c r="K15" s="391"/>
      <c r="L15" s="409"/>
      <c r="M15" s="398"/>
    </row>
    <row r="16" spans="1:13" ht="12.75" customHeight="1">
      <c r="A16" s="398"/>
      <c r="B16" s="738" t="s">
        <v>131</v>
      </c>
      <c r="C16" s="736"/>
      <c r="D16" s="736"/>
      <c r="E16" s="739"/>
      <c r="F16" s="736">
        <v>2708.9</v>
      </c>
      <c r="G16" s="736">
        <v>24522.54</v>
      </c>
      <c r="H16" s="739">
        <f t="shared" si="1"/>
        <v>110.46571847777595</v>
      </c>
      <c r="I16" s="391"/>
      <c r="J16" s="391"/>
      <c r="K16" s="391"/>
      <c r="L16" s="409"/>
      <c r="M16" s="399"/>
    </row>
    <row r="17" spans="1:13" ht="12.75" customHeight="1">
      <c r="A17" s="398"/>
      <c r="B17" s="738" t="s">
        <v>132</v>
      </c>
      <c r="C17" s="736"/>
      <c r="D17" s="736"/>
      <c r="E17" s="739"/>
      <c r="F17" s="736">
        <v>2088</v>
      </c>
      <c r="G17" s="736">
        <v>18027</v>
      </c>
      <c r="H17" s="739">
        <f t="shared" si="1"/>
        <v>115.82626060908638</v>
      </c>
      <c r="I17" s="391"/>
      <c r="J17" s="391"/>
      <c r="K17" s="391"/>
      <c r="L17" s="409"/>
      <c r="M17" s="398"/>
    </row>
    <row r="18" spans="1:13" ht="12.75" customHeight="1">
      <c r="A18" s="398"/>
      <c r="B18" s="738" t="s">
        <v>133</v>
      </c>
      <c r="C18" s="742"/>
      <c r="D18" s="743"/>
      <c r="E18" s="746"/>
      <c r="F18" s="742">
        <v>2475</v>
      </c>
      <c r="G18" s="743">
        <v>20540</v>
      </c>
      <c r="H18" s="746">
        <f>(F18*1000)/G18</f>
        <v>120.49659201557935</v>
      </c>
      <c r="I18" s="394"/>
      <c r="J18" s="392"/>
      <c r="K18" s="392"/>
      <c r="L18" s="410"/>
      <c r="M18" s="398"/>
    </row>
    <row r="19" spans="1:13" ht="12.75" customHeight="1">
      <c r="A19" s="398"/>
      <c r="B19" s="744" t="s">
        <v>115</v>
      </c>
      <c r="C19" s="742">
        <f>SUM(C6:C18)-C13</f>
        <v>25022.053</v>
      </c>
      <c r="D19" s="761">
        <f>SUM(D6:D18)-D13</f>
        <v>210135.33</v>
      </c>
      <c r="E19" s="748">
        <f>(C19*1000)/D19</f>
        <v>119.07589742286555</v>
      </c>
      <c r="F19" s="761">
        <f>SUM(F6:F18)-F13</f>
        <v>36753.776000000005</v>
      </c>
      <c r="G19" s="761">
        <f>SUM(G6:G18)-G13</f>
        <v>282922.7333333333</v>
      </c>
      <c r="H19" s="745">
        <f>(F19*1000)/G19</f>
        <v>129.90746825811812</v>
      </c>
      <c r="I19" s="497"/>
      <c r="J19" s="497"/>
      <c r="K19" s="497"/>
      <c r="L19" s="552"/>
      <c r="M19" s="398"/>
    </row>
    <row r="20" spans="1:13" ht="12" customHeight="1">
      <c r="A20" s="398"/>
      <c r="B20" s="413" t="s">
        <v>116</v>
      </c>
      <c r="C20" s="414"/>
      <c r="D20" s="397" t="s">
        <v>341</v>
      </c>
      <c r="E20" s="489"/>
      <c r="F20" s="397"/>
      <c r="G20" s="415"/>
      <c r="H20" s="133"/>
      <c r="I20" s="133"/>
      <c r="J20" s="397" t="s">
        <v>135</v>
      </c>
      <c r="K20" s="133"/>
      <c r="L20" s="76"/>
      <c r="M20" s="398"/>
    </row>
    <row r="21" spans="1:13" ht="12" customHeight="1">
      <c r="A21" s="398"/>
      <c r="B21" s="413" t="s">
        <v>320</v>
      </c>
      <c r="C21" s="414"/>
      <c r="D21" s="397" t="s">
        <v>134</v>
      </c>
      <c r="E21" s="489"/>
      <c r="F21" s="489"/>
      <c r="G21" s="415"/>
      <c r="H21" s="133"/>
      <c r="I21" s="133"/>
      <c r="J21" s="397" t="s">
        <v>136</v>
      </c>
      <c r="K21" s="133"/>
      <c r="L21" s="76"/>
      <c r="M21" s="398"/>
    </row>
    <row r="22" spans="1:13" ht="15" customHeight="1">
      <c r="A22" s="398"/>
      <c r="B22" s="140"/>
      <c r="C22" s="414"/>
      <c r="D22" s="414"/>
      <c r="E22" s="133"/>
      <c r="F22" s="415"/>
      <c r="G22" s="415"/>
      <c r="H22" s="133"/>
      <c r="I22" s="133"/>
      <c r="J22" s="133"/>
      <c r="K22" s="133"/>
      <c r="L22" s="76"/>
      <c r="M22" s="398"/>
    </row>
    <row r="23" spans="1:13" ht="15" customHeight="1">
      <c r="A23" s="398"/>
      <c r="B23" s="416"/>
      <c r="C23" s="414"/>
      <c r="D23" s="414"/>
      <c r="E23" s="141"/>
      <c r="F23" s="141"/>
      <c r="G23" s="141"/>
      <c r="H23" s="141"/>
      <c r="I23" s="141"/>
      <c r="J23" s="141"/>
      <c r="K23" s="141"/>
      <c r="L23" s="142"/>
      <c r="M23" s="398"/>
    </row>
    <row r="24" spans="1:13" ht="15" customHeight="1">
      <c r="A24" s="398"/>
      <c r="B24" s="138"/>
      <c r="C24" s="133"/>
      <c r="D24" s="133"/>
      <c r="E24" s="133"/>
      <c r="F24" s="133"/>
      <c r="G24" s="133"/>
      <c r="H24" s="133"/>
      <c r="I24" s="133"/>
      <c r="J24" s="133"/>
      <c r="K24" s="133"/>
      <c r="L24" s="76"/>
      <c r="M24" s="398"/>
    </row>
    <row r="25" spans="1:13" ht="15" customHeight="1">
      <c r="A25" s="398"/>
      <c r="B25" s="138"/>
      <c r="C25" s="133"/>
      <c r="D25" s="133"/>
      <c r="E25" s="133"/>
      <c r="F25" s="133"/>
      <c r="G25" s="133"/>
      <c r="H25" s="133"/>
      <c r="I25" s="133"/>
      <c r="J25" s="133"/>
      <c r="K25" s="133"/>
      <c r="L25" s="76"/>
      <c r="M25" s="398"/>
    </row>
    <row r="26" spans="1:13" ht="15" customHeight="1">
      <c r="A26" s="398"/>
      <c r="B26" s="138"/>
      <c r="C26" s="133"/>
      <c r="D26" s="133"/>
      <c r="E26" s="133"/>
      <c r="F26" s="133"/>
      <c r="G26" s="133"/>
      <c r="H26" s="133"/>
      <c r="I26" s="133"/>
      <c r="J26" s="133"/>
      <c r="K26" s="133"/>
      <c r="L26" s="76"/>
      <c r="M26" s="398"/>
    </row>
    <row r="27" spans="1:13" ht="15" customHeight="1">
      <c r="A27" s="398"/>
      <c r="B27" s="138"/>
      <c r="C27" s="133"/>
      <c r="D27" s="133"/>
      <c r="E27" s="133"/>
      <c r="F27" s="133"/>
      <c r="G27" s="133"/>
      <c r="H27" s="133"/>
      <c r="I27" s="133"/>
      <c r="J27" s="133"/>
      <c r="K27" s="133"/>
      <c r="L27" s="76"/>
      <c r="M27" s="398"/>
    </row>
    <row r="28" spans="1:13" ht="15" customHeight="1">
      <c r="A28" s="398"/>
      <c r="B28" s="138"/>
      <c r="C28" s="133"/>
      <c r="D28" s="133"/>
      <c r="E28" s="133"/>
      <c r="F28" s="133"/>
      <c r="G28" s="133"/>
      <c r="H28" s="133"/>
      <c r="I28" s="133"/>
      <c r="J28" s="133"/>
      <c r="K28" s="133"/>
      <c r="L28" s="76"/>
      <c r="M28" s="398"/>
    </row>
    <row r="29" spans="1:13" ht="15" customHeight="1">
      <c r="A29" s="398"/>
      <c r="B29" s="138"/>
      <c r="C29" s="133"/>
      <c r="D29" s="133"/>
      <c r="E29" s="133"/>
      <c r="F29" s="133"/>
      <c r="G29" s="133"/>
      <c r="H29" s="133"/>
      <c r="I29" s="133"/>
      <c r="J29" s="133"/>
      <c r="K29" s="133"/>
      <c r="L29" s="76"/>
      <c r="M29" s="398"/>
    </row>
    <row r="30" spans="1:13" ht="15" customHeight="1">
      <c r="A30" s="398"/>
      <c r="B30" s="138"/>
      <c r="C30" s="133"/>
      <c r="D30" s="133"/>
      <c r="E30" s="133"/>
      <c r="F30" s="133"/>
      <c r="G30" s="133"/>
      <c r="H30" s="133"/>
      <c r="I30" s="133"/>
      <c r="J30" s="133"/>
      <c r="K30" s="133"/>
      <c r="L30" s="76"/>
      <c r="M30" s="398"/>
    </row>
    <row r="31" spans="1:13" ht="15" customHeight="1">
      <c r="A31" s="398"/>
      <c r="B31" s="138"/>
      <c r="C31" s="133"/>
      <c r="D31" s="133"/>
      <c r="E31" s="133"/>
      <c r="F31" s="133"/>
      <c r="G31" s="133"/>
      <c r="H31" s="133"/>
      <c r="I31" s="133"/>
      <c r="J31" s="133"/>
      <c r="K31" s="133"/>
      <c r="L31" s="76"/>
      <c r="M31" s="398"/>
    </row>
    <row r="32" spans="1:13" ht="15" customHeight="1">
      <c r="A32" s="398"/>
      <c r="B32" s="138"/>
      <c r="C32" s="133"/>
      <c r="D32" s="133"/>
      <c r="E32" s="133"/>
      <c r="F32" s="133"/>
      <c r="G32" s="133"/>
      <c r="H32" s="133"/>
      <c r="I32" s="133"/>
      <c r="J32" s="133"/>
      <c r="K32" s="133"/>
      <c r="L32" s="76"/>
      <c r="M32" s="398"/>
    </row>
    <row r="33" spans="1:13" ht="15" customHeight="1">
      <c r="A33" s="398"/>
      <c r="B33" s="417"/>
      <c r="C33" s="112"/>
      <c r="D33" s="112"/>
      <c r="E33" s="112"/>
      <c r="F33" s="112"/>
      <c r="G33" s="112"/>
      <c r="H33" s="112"/>
      <c r="I33" s="112"/>
      <c r="J33" s="112"/>
      <c r="K33" s="112"/>
      <c r="L33" s="418"/>
      <c r="M33" s="398"/>
    </row>
    <row r="34" spans="1:13" ht="15" customHeight="1">
      <c r="A34" s="398"/>
      <c r="B34" s="400"/>
      <c r="C34" s="400"/>
      <c r="D34" s="400"/>
      <c r="E34" s="400"/>
      <c r="F34" s="400"/>
      <c r="G34" s="400"/>
      <c r="H34" s="400"/>
      <c r="I34" s="400"/>
      <c r="J34" s="400"/>
      <c r="K34" s="400"/>
      <c r="L34" s="400"/>
      <c r="M34" s="398"/>
    </row>
    <row r="35" spans="2:12" ht="14.25">
      <c r="B35" s="3"/>
      <c r="C35" s="3"/>
      <c r="D35" s="3"/>
      <c r="E35" s="3"/>
      <c r="F35" s="3"/>
      <c r="G35" s="3"/>
      <c r="H35" s="3"/>
      <c r="I35" s="3"/>
      <c r="J35" s="3"/>
      <c r="K35" s="3"/>
      <c r="L35" s="3"/>
    </row>
    <row r="36" spans="2:12" ht="14.25">
      <c r="B36" s="3"/>
      <c r="C36" s="3"/>
      <c r="D36" s="3"/>
      <c r="E36" s="3"/>
      <c r="F36" s="3"/>
      <c r="G36" s="3"/>
      <c r="H36" s="3"/>
      <c r="I36" s="3"/>
      <c r="J36" s="3"/>
      <c r="K36" s="3"/>
      <c r="L36" s="3"/>
    </row>
    <row r="37" spans="2:12" ht="14.25">
      <c r="B37" s="3"/>
      <c r="C37" s="3"/>
      <c r="D37" s="3"/>
      <c r="E37" s="3"/>
      <c r="F37" s="3"/>
      <c r="G37" s="3"/>
      <c r="H37" s="3"/>
      <c r="I37" s="3"/>
      <c r="J37" s="3"/>
      <c r="K37" s="3"/>
      <c r="L37" s="3"/>
    </row>
    <row r="38" spans="2:12" ht="14.25">
      <c r="B38" s="3"/>
      <c r="C38" s="3"/>
      <c r="D38" s="3"/>
      <c r="E38" s="3"/>
      <c r="F38" s="3"/>
      <c r="G38" s="3"/>
      <c r="H38" s="3"/>
      <c r="I38" s="3"/>
      <c r="J38" s="3"/>
      <c r="K38" s="3"/>
      <c r="L38" s="3"/>
    </row>
    <row r="39" spans="2:12" ht="14.25">
      <c r="B39" s="3"/>
      <c r="C39" s="3"/>
      <c r="D39" s="3"/>
      <c r="E39" s="3"/>
      <c r="F39" s="3"/>
      <c r="G39" s="3"/>
      <c r="H39" s="3"/>
      <c r="I39" s="3"/>
      <c r="J39" s="3"/>
      <c r="K39" s="3"/>
      <c r="L39" s="3"/>
    </row>
    <row r="40" spans="2:12" ht="14.25">
      <c r="B40" s="3"/>
      <c r="C40" s="3"/>
      <c r="D40" s="3"/>
      <c r="E40" s="3"/>
      <c r="F40" s="3"/>
      <c r="G40" s="3"/>
      <c r="H40" s="3"/>
      <c r="I40" s="3"/>
      <c r="J40" s="3"/>
      <c r="K40" s="3"/>
      <c r="L40" s="3"/>
    </row>
    <row r="41" spans="2:12" ht="14.25">
      <c r="B41" s="3"/>
      <c r="C41" s="3"/>
      <c r="D41" s="3"/>
      <c r="E41" s="3"/>
      <c r="F41" s="3"/>
      <c r="G41" s="3"/>
      <c r="H41" s="3"/>
      <c r="I41" s="3"/>
      <c r="J41" s="3"/>
      <c r="K41" s="3"/>
      <c r="L41" s="3"/>
    </row>
    <row r="42" spans="2:12" ht="14.25">
      <c r="B42" s="3"/>
      <c r="C42" s="3"/>
      <c r="D42" s="3"/>
      <c r="E42" s="3"/>
      <c r="F42" s="3"/>
      <c r="G42" s="3"/>
      <c r="H42" s="3"/>
      <c r="I42" s="3"/>
      <c r="J42" s="3"/>
      <c r="K42" s="3"/>
      <c r="L42" s="3"/>
    </row>
    <row r="43" spans="2:12" ht="14.25">
      <c r="B43" s="3"/>
      <c r="C43" s="3"/>
      <c r="D43" s="3"/>
      <c r="E43" s="3"/>
      <c r="F43" s="3"/>
      <c r="G43" s="3"/>
      <c r="H43" s="3"/>
      <c r="I43" s="3"/>
      <c r="J43" s="3"/>
      <c r="K43" s="3"/>
      <c r="L43" s="3"/>
    </row>
    <row r="44" spans="2:12" ht="14.25">
      <c r="B44" s="3"/>
      <c r="C44" s="3"/>
      <c r="D44" s="3"/>
      <c r="E44" s="3"/>
      <c r="F44" s="3"/>
      <c r="G44" s="3"/>
      <c r="H44" s="3"/>
      <c r="I44" s="3"/>
      <c r="J44" s="3"/>
      <c r="K44" s="3"/>
      <c r="L44" s="3"/>
    </row>
    <row r="45" spans="2:12" ht="14.25">
      <c r="B45" s="3"/>
      <c r="C45" s="3"/>
      <c r="D45" s="3"/>
      <c r="E45" s="3"/>
      <c r="F45" s="3"/>
      <c r="G45" s="3"/>
      <c r="H45" s="3"/>
      <c r="I45" s="3"/>
      <c r="J45" s="3"/>
      <c r="K45" s="3"/>
      <c r="L45" s="3"/>
    </row>
    <row r="46" spans="2:12" ht="14.25">
      <c r="B46" s="3"/>
      <c r="C46" s="3"/>
      <c r="D46" s="3"/>
      <c r="E46" s="3"/>
      <c r="F46" s="3"/>
      <c r="G46" s="3"/>
      <c r="H46" s="3"/>
      <c r="I46" s="3"/>
      <c r="J46" s="3"/>
      <c r="K46" s="3"/>
      <c r="L46" s="3"/>
    </row>
    <row r="47" spans="2:12" ht="14.25">
      <c r="B47" s="3"/>
      <c r="C47" s="3"/>
      <c r="D47" s="3"/>
      <c r="E47" s="3"/>
      <c r="F47" s="3"/>
      <c r="G47" s="3"/>
      <c r="H47" s="3"/>
      <c r="I47" s="3"/>
      <c r="J47" s="3"/>
      <c r="K47" s="3"/>
      <c r="L47" s="3"/>
    </row>
    <row r="48" spans="2:12" ht="14.25">
      <c r="B48" s="3"/>
      <c r="C48" s="3"/>
      <c r="D48" s="3"/>
      <c r="E48" s="3"/>
      <c r="F48" s="3"/>
      <c r="G48" s="3"/>
      <c r="H48" s="3"/>
      <c r="I48" s="3"/>
      <c r="J48" s="3"/>
      <c r="K48" s="3"/>
      <c r="L48" s="3"/>
    </row>
    <row r="49" spans="2:12" ht="14.25">
      <c r="B49" s="3"/>
      <c r="C49" s="3"/>
      <c r="D49" s="3"/>
      <c r="E49" s="3"/>
      <c r="F49" s="3"/>
      <c r="G49" s="3"/>
      <c r="H49" s="3"/>
      <c r="I49" s="3"/>
      <c r="J49" s="3"/>
      <c r="K49" s="3"/>
      <c r="L49" s="3"/>
    </row>
    <row r="50" spans="2:12" ht="14.25">
      <c r="B50" s="3"/>
      <c r="C50" s="3"/>
      <c r="D50" s="3"/>
      <c r="E50" s="3"/>
      <c r="F50" s="3"/>
      <c r="G50" s="3"/>
      <c r="H50" s="3"/>
      <c r="I50" s="3"/>
      <c r="J50" s="3"/>
      <c r="K50" s="3"/>
      <c r="L50" s="3"/>
    </row>
    <row r="51" spans="2:12" ht="14.25">
      <c r="B51" s="3"/>
      <c r="C51" s="3"/>
      <c r="D51" s="3"/>
      <c r="E51" s="3"/>
      <c r="F51" s="3"/>
      <c r="G51" s="3"/>
      <c r="H51" s="3"/>
      <c r="I51" s="3"/>
      <c r="J51" s="3"/>
      <c r="K51" s="3"/>
      <c r="L51" s="3"/>
    </row>
    <row r="52" spans="2:12" ht="14.25">
      <c r="B52" s="3"/>
      <c r="C52" s="3"/>
      <c r="D52" s="3"/>
      <c r="E52" s="3"/>
      <c r="F52" s="3"/>
      <c r="G52" s="3"/>
      <c r="H52" s="3"/>
      <c r="I52" s="3"/>
      <c r="J52" s="3"/>
      <c r="K52" s="3"/>
      <c r="L52" s="3"/>
    </row>
    <row r="53" spans="2:12" ht="14.25">
      <c r="B53" s="3"/>
      <c r="C53" s="3"/>
      <c r="D53" s="3"/>
      <c r="E53" s="3"/>
      <c r="F53" s="3"/>
      <c r="G53" s="3"/>
      <c r="H53" s="3"/>
      <c r="I53" s="3"/>
      <c r="J53" s="3"/>
      <c r="K53" s="3"/>
      <c r="L53" s="3"/>
    </row>
    <row r="54" spans="2:12" ht="14.25">
      <c r="B54" s="3"/>
      <c r="C54" s="3"/>
      <c r="D54" s="3"/>
      <c r="E54" s="3"/>
      <c r="F54" s="3"/>
      <c r="G54" s="3"/>
      <c r="H54" s="3"/>
      <c r="I54" s="3"/>
      <c r="J54" s="3"/>
      <c r="K54" s="3"/>
      <c r="L54" s="3"/>
    </row>
    <row r="55" spans="2:12" ht="14.25">
      <c r="B55" s="3"/>
      <c r="C55" s="3"/>
      <c r="D55" s="3"/>
      <c r="E55" s="3"/>
      <c r="F55" s="3"/>
      <c r="G55" s="3"/>
      <c r="H55" s="3"/>
      <c r="I55" s="3"/>
      <c r="J55" s="3"/>
      <c r="K55" s="3"/>
      <c r="L55" s="3"/>
    </row>
    <row r="56" spans="2:12" ht="14.25">
      <c r="B56" s="3"/>
      <c r="C56" s="3"/>
      <c r="D56" s="3"/>
      <c r="E56" s="3"/>
      <c r="F56" s="3"/>
      <c r="G56" s="3"/>
      <c r="H56" s="3"/>
      <c r="I56" s="3"/>
      <c r="J56" s="3"/>
      <c r="K56" s="3"/>
      <c r="L56" s="3"/>
    </row>
    <row r="57" spans="2:12" ht="14.25">
      <c r="B57" s="3"/>
      <c r="C57" s="3"/>
      <c r="D57" s="3"/>
      <c r="E57" s="3"/>
      <c r="F57" s="3"/>
      <c r="G57" s="3"/>
      <c r="H57" s="3"/>
      <c r="I57" s="3"/>
      <c r="J57" s="3"/>
      <c r="K57" s="3"/>
      <c r="L57" s="3"/>
    </row>
    <row r="58" spans="2:12" ht="14.25">
      <c r="B58" s="3"/>
      <c r="C58" s="3"/>
      <c r="D58" s="3"/>
      <c r="E58" s="3"/>
      <c r="F58" s="3"/>
      <c r="G58" s="3"/>
      <c r="H58" s="3"/>
      <c r="I58" s="3"/>
      <c r="J58" s="3"/>
      <c r="K58" s="3"/>
      <c r="L58" s="3"/>
    </row>
    <row r="59" spans="2:12" ht="14.25">
      <c r="B59" s="3"/>
      <c r="C59" s="3"/>
      <c r="D59" s="3"/>
      <c r="E59" s="3"/>
      <c r="F59" s="3"/>
      <c r="G59" s="3"/>
      <c r="H59" s="3"/>
      <c r="I59" s="3"/>
      <c r="J59" s="3"/>
      <c r="K59" s="3"/>
      <c r="L59" s="3"/>
    </row>
    <row r="60" spans="2:12" ht="14.25">
      <c r="B60" s="3"/>
      <c r="C60" s="3"/>
      <c r="D60" s="3"/>
      <c r="E60" s="3"/>
      <c r="F60" s="3"/>
      <c r="G60" s="3"/>
      <c r="H60" s="3"/>
      <c r="I60" s="3"/>
      <c r="J60" s="3"/>
      <c r="K60" s="3"/>
      <c r="L60" s="3"/>
    </row>
    <row r="61" spans="2:12" ht="14.25">
      <c r="B61" s="3"/>
      <c r="C61" s="3"/>
      <c r="D61" s="3"/>
      <c r="E61" s="3"/>
      <c r="F61" s="3"/>
      <c r="G61" s="3"/>
      <c r="H61" s="3"/>
      <c r="I61" s="3"/>
      <c r="J61" s="3"/>
      <c r="K61" s="3"/>
      <c r="L61" s="3"/>
    </row>
    <row r="62" spans="2:12" ht="14.25">
      <c r="B62" s="3"/>
      <c r="C62" s="3"/>
      <c r="D62" s="3"/>
      <c r="E62" s="3"/>
      <c r="F62" s="3"/>
      <c r="G62" s="3"/>
      <c r="H62" s="3"/>
      <c r="I62" s="3"/>
      <c r="J62" s="3"/>
      <c r="K62" s="3"/>
      <c r="L62" s="3"/>
    </row>
    <row r="63" spans="2:12" ht="14.25">
      <c r="B63" s="3"/>
      <c r="C63" s="3"/>
      <c r="D63" s="3"/>
      <c r="E63" s="3"/>
      <c r="F63" s="3"/>
      <c r="G63" s="3"/>
      <c r="H63" s="3"/>
      <c r="I63" s="3"/>
      <c r="J63" s="3"/>
      <c r="K63" s="3"/>
      <c r="L63" s="3"/>
    </row>
    <row r="64" spans="2:12" ht="14.25">
      <c r="B64" s="3"/>
      <c r="C64" s="3"/>
      <c r="D64" s="3"/>
      <c r="E64" s="3"/>
      <c r="F64" s="3"/>
      <c r="G64" s="3"/>
      <c r="H64" s="3"/>
      <c r="I64" s="3"/>
      <c r="J64" s="3"/>
      <c r="K64" s="3"/>
      <c r="L64" s="3"/>
    </row>
    <row r="65" spans="2:12" ht="14.25">
      <c r="B65" s="3"/>
      <c r="C65" s="3"/>
      <c r="D65" s="3"/>
      <c r="E65" s="3"/>
      <c r="F65" s="3"/>
      <c r="G65" s="3"/>
      <c r="H65" s="3"/>
      <c r="I65" s="3"/>
      <c r="J65" s="3"/>
      <c r="K65" s="3"/>
      <c r="L65" s="3"/>
    </row>
    <row r="66" spans="2:12" ht="14.25">
      <c r="B66" s="3"/>
      <c r="C66" s="3"/>
      <c r="D66" s="3"/>
      <c r="E66" s="3"/>
      <c r="F66" s="3"/>
      <c r="G66" s="3"/>
      <c r="H66" s="3"/>
      <c r="I66" s="3"/>
      <c r="J66" s="3"/>
      <c r="K66" s="3"/>
      <c r="L66" s="3"/>
    </row>
    <row r="67" spans="2:12" ht="14.25">
      <c r="B67" s="3"/>
      <c r="C67" s="3"/>
      <c r="D67" s="3"/>
      <c r="E67" s="3"/>
      <c r="F67" s="3"/>
      <c r="G67" s="3"/>
      <c r="H67" s="3"/>
      <c r="I67" s="3"/>
      <c r="J67" s="3"/>
      <c r="K67" s="3"/>
      <c r="L67" s="3"/>
    </row>
    <row r="68" spans="2:12" ht="14.25">
      <c r="B68" s="3"/>
      <c r="C68" s="3"/>
      <c r="D68" s="3"/>
      <c r="E68" s="3"/>
      <c r="F68" s="3"/>
      <c r="G68" s="3"/>
      <c r="H68" s="3"/>
      <c r="I68" s="3"/>
      <c r="J68" s="3"/>
      <c r="K68" s="3"/>
      <c r="L68" s="3"/>
    </row>
    <row r="69" spans="2:12" ht="14.25">
      <c r="B69" s="3"/>
      <c r="C69" s="3"/>
      <c r="D69" s="3"/>
      <c r="E69" s="3"/>
      <c r="F69" s="3"/>
      <c r="G69" s="3"/>
      <c r="H69" s="3"/>
      <c r="I69" s="3"/>
      <c r="J69" s="3"/>
      <c r="K69" s="3"/>
      <c r="L69" s="3"/>
    </row>
    <row r="70" spans="2:12" ht="14.25">
      <c r="B70" s="3"/>
      <c r="C70" s="3"/>
      <c r="D70" s="3"/>
      <c r="E70" s="3"/>
      <c r="F70" s="3"/>
      <c r="G70" s="3"/>
      <c r="H70" s="3"/>
      <c r="I70" s="3"/>
      <c r="J70" s="3"/>
      <c r="K70" s="3"/>
      <c r="L70" s="3"/>
    </row>
    <row r="71" spans="2:12" ht="14.25">
      <c r="B71" s="3"/>
      <c r="C71" s="3"/>
      <c r="D71" s="3"/>
      <c r="E71" s="3"/>
      <c r="F71" s="3"/>
      <c r="G71" s="3"/>
      <c r="H71" s="3"/>
      <c r="I71" s="3"/>
      <c r="J71" s="3"/>
      <c r="K71" s="3"/>
      <c r="L71" s="3"/>
    </row>
    <row r="72" spans="2:12" ht="14.25">
      <c r="B72" s="3"/>
      <c r="C72" s="3"/>
      <c r="D72" s="3"/>
      <c r="E72" s="3"/>
      <c r="F72" s="3"/>
      <c r="G72" s="3"/>
      <c r="H72" s="3"/>
      <c r="I72" s="3"/>
      <c r="J72" s="3"/>
      <c r="K72" s="3"/>
      <c r="L72" s="3"/>
    </row>
    <row r="73" spans="2:12" ht="14.25">
      <c r="B73" s="3"/>
      <c r="C73" s="3"/>
      <c r="D73" s="3"/>
      <c r="E73" s="3"/>
      <c r="F73" s="3"/>
      <c r="G73" s="3"/>
      <c r="H73" s="3"/>
      <c r="I73" s="3"/>
      <c r="J73" s="3"/>
      <c r="K73" s="3"/>
      <c r="L73" s="3"/>
    </row>
    <row r="74" spans="2:12" ht="14.25">
      <c r="B74" s="3"/>
      <c r="C74" s="3"/>
      <c r="D74" s="3"/>
      <c r="E74" s="3"/>
      <c r="F74" s="3"/>
      <c r="G74" s="3"/>
      <c r="H74" s="3"/>
      <c r="I74" s="3"/>
      <c r="J74" s="3"/>
      <c r="K74" s="3"/>
      <c r="L74" s="3"/>
    </row>
    <row r="75" spans="2:12" ht="14.25">
      <c r="B75" s="3"/>
      <c r="C75" s="3"/>
      <c r="D75" s="3"/>
      <c r="E75" s="3"/>
      <c r="F75" s="3"/>
      <c r="G75" s="3"/>
      <c r="H75" s="3"/>
      <c r="I75" s="3"/>
      <c r="J75" s="3"/>
      <c r="K75" s="3"/>
      <c r="L75" s="3"/>
    </row>
    <row r="76" spans="2:12" ht="14.25">
      <c r="B76" s="3"/>
      <c r="C76" s="3"/>
      <c r="D76" s="3"/>
      <c r="E76" s="3"/>
      <c r="F76" s="3"/>
      <c r="G76" s="3"/>
      <c r="H76" s="3"/>
      <c r="I76" s="3"/>
      <c r="J76" s="3"/>
      <c r="K76" s="3"/>
      <c r="L76" s="3"/>
    </row>
    <row r="77" spans="2:12" ht="14.25">
      <c r="B77" s="3"/>
      <c r="C77" s="3"/>
      <c r="D77" s="3"/>
      <c r="E77" s="3"/>
      <c r="F77" s="3"/>
      <c r="G77" s="3"/>
      <c r="H77" s="3"/>
      <c r="I77" s="3"/>
      <c r="J77" s="3"/>
      <c r="K77" s="3"/>
      <c r="L77" s="3"/>
    </row>
    <row r="78" spans="2:12" ht="14.25">
      <c r="B78" s="3"/>
      <c r="C78" s="3"/>
      <c r="D78" s="3"/>
      <c r="E78" s="3"/>
      <c r="F78" s="3"/>
      <c r="G78" s="3"/>
      <c r="H78" s="3"/>
      <c r="I78" s="3"/>
      <c r="J78" s="3"/>
      <c r="K78" s="3"/>
      <c r="L78" s="3"/>
    </row>
    <row r="79" spans="2:12" ht="14.25">
      <c r="B79" s="3"/>
      <c r="C79" s="3"/>
      <c r="D79" s="3"/>
      <c r="E79" s="3"/>
      <c r="F79" s="3"/>
      <c r="G79" s="3"/>
      <c r="H79" s="3"/>
      <c r="I79" s="3"/>
      <c r="J79" s="3"/>
      <c r="K79" s="3"/>
      <c r="L79" s="3"/>
    </row>
    <row r="80" spans="2:12" ht="14.25">
      <c r="B80" s="3"/>
      <c r="C80" s="3"/>
      <c r="D80" s="3"/>
      <c r="E80" s="3"/>
      <c r="F80" s="3"/>
      <c r="G80" s="3"/>
      <c r="H80" s="3"/>
      <c r="I80" s="3"/>
      <c r="J80" s="3"/>
      <c r="K80" s="3"/>
      <c r="L80" s="3"/>
    </row>
    <row r="81" spans="2:12" ht="14.25">
      <c r="B81" s="3"/>
      <c r="C81" s="3"/>
      <c r="D81" s="3"/>
      <c r="E81" s="3"/>
      <c r="F81" s="3"/>
      <c r="G81" s="3"/>
      <c r="H81" s="3"/>
      <c r="I81" s="3"/>
      <c r="J81" s="3"/>
      <c r="K81" s="3"/>
      <c r="L81" s="3"/>
    </row>
    <row r="82" spans="2:12" ht="14.25">
      <c r="B82" s="3"/>
      <c r="C82" s="3"/>
      <c r="D82" s="3"/>
      <c r="E82" s="3"/>
      <c r="F82" s="3"/>
      <c r="G82" s="3"/>
      <c r="H82" s="3"/>
      <c r="I82" s="3"/>
      <c r="J82" s="3"/>
      <c r="K82" s="3"/>
      <c r="L82" s="3"/>
    </row>
    <row r="83" spans="2:12" ht="14.25">
      <c r="B83" s="3"/>
      <c r="C83" s="3"/>
      <c r="D83" s="3"/>
      <c r="E83" s="3"/>
      <c r="F83" s="3"/>
      <c r="G83" s="3"/>
      <c r="H83" s="3"/>
      <c r="I83" s="3"/>
      <c r="J83" s="3"/>
      <c r="K83" s="3"/>
      <c r="L83" s="3"/>
    </row>
    <row r="84" spans="2:12" ht="14.25">
      <c r="B84" s="3"/>
      <c r="C84" s="3"/>
      <c r="D84" s="3"/>
      <c r="E84" s="3"/>
      <c r="F84" s="3"/>
      <c r="G84" s="3"/>
      <c r="H84" s="3"/>
      <c r="I84" s="3"/>
      <c r="J84" s="3"/>
      <c r="K84" s="3"/>
      <c r="L84" s="3"/>
    </row>
    <row r="85" spans="2:12" ht="14.25">
      <c r="B85" s="3"/>
      <c r="C85" s="3"/>
      <c r="D85" s="3"/>
      <c r="E85" s="3"/>
      <c r="F85" s="3"/>
      <c r="G85" s="3"/>
      <c r="H85" s="3"/>
      <c r="I85" s="3"/>
      <c r="J85" s="3"/>
      <c r="K85" s="3"/>
      <c r="L85" s="3"/>
    </row>
    <row r="86" spans="2:12" ht="14.25">
      <c r="B86" s="3"/>
      <c r="C86" s="3"/>
      <c r="D86" s="3"/>
      <c r="E86" s="3"/>
      <c r="F86" s="3"/>
      <c r="G86" s="3"/>
      <c r="H86" s="3"/>
      <c r="I86" s="3"/>
      <c r="J86" s="3"/>
      <c r="K86" s="3"/>
      <c r="L86" s="3"/>
    </row>
    <row r="87" spans="2:12" ht="14.25">
      <c r="B87" s="3"/>
      <c r="C87" s="3"/>
      <c r="D87" s="3"/>
      <c r="E87" s="3"/>
      <c r="F87" s="3"/>
      <c r="G87" s="3"/>
      <c r="H87" s="3"/>
      <c r="I87" s="3"/>
      <c r="J87" s="3"/>
      <c r="K87" s="3"/>
      <c r="L87" s="3"/>
    </row>
    <row r="88" spans="2:12" ht="14.25">
      <c r="B88" s="3"/>
      <c r="C88" s="3"/>
      <c r="D88" s="3"/>
      <c r="E88" s="3"/>
      <c r="F88" s="3"/>
      <c r="G88" s="3"/>
      <c r="H88" s="3"/>
      <c r="I88" s="3"/>
      <c r="J88" s="3"/>
      <c r="K88" s="3"/>
      <c r="L88" s="3"/>
    </row>
    <row r="89" spans="2:12" ht="14.25">
      <c r="B89" s="3"/>
      <c r="C89" s="3"/>
      <c r="D89" s="3"/>
      <c r="E89" s="3"/>
      <c r="F89" s="3"/>
      <c r="G89" s="3"/>
      <c r="H89" s="3"/>
      <c r="I89" s="3"/>
      <c r="J89" s="3"/>
      <c r="K89" s="3"/>
      <c r="L89" s="3"/>
    </row>
    <row r="90" spans="2:12" ht="14.25">
      <c r="B90" s="3"/>
      <c r="C90" s="3"/>
      <c r="D90" s="3"/>
      <c r="E90" s="3"/>
      <c r="F90" s="3"/>
      <c r="G90" s="3"/>
      <c r="H90" s="3"/>
      <c r="I90" s="3"/>
      <c r="J90" s="3"/>
      <c r="K90" s="3"/>
      <c r="L90" s="3"/>
    </row>
    <row r="91" spans="2:12" ht="14.25">
      <c r="B91" s="3"/>
      <c r="C91" s="3"/>
      <c r="D91" s="3"/>
      <c r="E91" s="3"/>
      <c r="F91" s="3"/>
      <c r="G91" s="3"/>
      <c r="H91" s="3"/>
      <c r="I91" s="3"/>
      <c r="J91" s="3"/>
      <c r="K91" s="3"/>
      <c r="L91" s="3"/>
    </row>
  </sheetData>
  <sheetProtection/>
  <mergeCells count="6">
    <mergeCell ref="A1:M1"/>
    <mergeCell ref="B2:L2"/>
    <mergeCell ref="C4:E4"/>
    <mergeCell ref="F4:H4"/>
    <mergeCell ref="I4:J4"/>
    <mergeCell ref="K4:L4"/>
  </mergeCells>
  <printOptions horizontalCentered="1" verticalCentered="1"/>
  <pageMargins left="0.5118110236220472" right="0.5118110236220472" top="0.7874015748031497" bottom="0.7874015748031497" header="0.31496062992125984" footer="0.31496062992125984"/>
  <pageSetup horizontalDpi="600" verticalDpi="600" orientation="landscape" paperSize="9" r:id="rId2"/>
  <drawing r:id="rId1"/>
</worksheet>
</file>

<file path=xl/worksheets/sheet22.xml><?xml version="1.0" encoding="utf-8"?>
<worksheet xmlns="http://schemas.openxmlformats.org/spreadsheetml/2006/main" xmlns:r="http://schemas.openxmlformats.org/officeDocument/2006/relationships">
  <dimension ref="A1:R91"/>
  <sheetViews>
    <sheetView zoomScalePageLayoutView="0" workbookViewId="0" topLeftCell="A1">
      <selection activeCell="U26" sqref="U26"/>
    </sheetView>
  </sheetViews>
  <sheetFormatPr defaultColWidth="11.421875" defaultRowHeight="12.75"/>
  <cols>
    <col min="1" max="1" width="2.7109375" style="2" customWidth="1"/>
    <col min="2" max="2" width="9.57421875" style="2" customWidth="1"/>
    <col min="3" max="3" width="10.00390625" style="2" customWidth="1"/>
    <col min="4" max="4" width="6.28125" style="2" bestFit="1" customWidth="1"/>
    <col min="5" max="5" width="6.57421875" style="2" bestFit="1" customWidth="1"/>
    <col min="6" max="6" width="11.28125" style="2" bestFit="1" customWidth="1"/>
    <col min="7" max="7" width="6.28125" style="2" bestFit="1" customWidth="1"/>
    <col min="8" max="8" width="7.28125" style="2" bestFit="1" customWidth="1"/>
    <col min="9" max="9" width="7.8515625" style="2" bestFit="1" customWidth="1"/>
    <col min="10" max="10" width="5.28125" style="2" bestFit="1" customWidth="1"/>
    <col min="11" max="11" width="6.57421875" style="2" bestFit="1" customWidth="1"/>
    <col min="12" max="12" width="10.28125" style="2" customWidth="1"/>
    <col min="13" max="13" width="9.421875" style="2" bestFit="1" customWidth="1"/>
    <col min="14" max="14" width="11.140625" style="2" customWidth="1"/>
    <col min="15" max="15" width="9.421875" style="2" bestFit="1" customWidth="1"/>
    <col min="16" max="16" width="7.8515625" style="2" bestFit="1" customWidth="1"/>
    <col min="17" max="17" width="5.28125" style="2" bestFit="1" customWidth="1"/>
    <col min="18" max="18" width="2.7109375" style="2" customWidth="1"/>
    <col min="19" max="16384" width="11.421875" style="2" customWidth="1"/>
  </cols>
  <sheetData>
    <row r="1" spans="1:18" ht="15" customHeight="1">
      <c r="A1" s="1437" t="s">
        <v>422</v>
      </c>
      <c r="B1" s="1437"/>
      <c r="C1" s="1437"/>
      <c r="D1" s="1437"/>
      <c r="E1" s="1437"/>
      <c r="F1" s="1437"/>
      <c r="G1" s="1437"/>
      <c r="H1" s="1437"/>
      <c r="I1" s="1437"/>
      <c r="J1" s="1437"/>
      <c r="K1" s="1437"/>
      <c r="L1" s="1437"/>
      <c r="M1" s="1437"/>
      <c r="N1" s="1437"/>
      <c r="O1" s="1437"/>
      <c r="P1" s="1437"/>
      <c r="Q1" s="1437"/>
      <c r="R1" s="1437"/>
    </row>
    <row r="2" spans="1:18" ht="22.5" customHeight="1">
      <c r="A2" s="398"/>
      <c r="B2" s="1431" t="s">
        <v>345</v>
      </c>
      <c r="C2" s="1432"/>
      <c r="D2" s="1432"/>
      <c r="E2" s="1432"/>
      <c r="F2" s="1432"/>
      <c r="G2" s="1432"/>
      <c r="H2" s="1432"/>
      <c r="I2" s="1432"/>
      <c r="J2" s="1432"/>
      <c r="K2" s="1432"/>
      <c r="L2" s="1432"/>
      <c r="M2" s="1432"/>
      <c r="N2" s="1432"/>
      <c r="O2" s="1432"/>
      <c r="P2" s="1432"/>
      <c r="Q2" s="1433"/>
      <c r="R2" s="398"/>
    </row>
    <row r="3" spans="1:18" ht="13.5" customHeight="1" thickBot="1">
      <c r="A3" s="398"/>
      <c r="B3" s="501"/>
      <c r="C3" s="502"/>
      <c r="D3" s="502"/>
      <c r="E3" s="502"/>
      <c r="F3" s="502"/>
      <c r="G3" s="502"/>
      <c r="H3" s="502"/>
      <c r="I3" s="503"/>
      <c r="J3" s="503"/>
      <c r="K3" s="503"/>
      <c r="L3" s="503"/>
      <c r="M3" s="503"/>
      <c r="N3" s="503"/>
      <c r="O3" s="503"/>
      <c r="P3" s="503"/>
      <c r="Q3" s="504"/>
      <c r="R3" s="398"/>
    </row>
    <row r="4" spans="1:18" ht="12.75" customHeight="1">
      <c r="A4" s="398"/>
      <c r="B4" s="1448" t="s">
        <v>118</v>
      </c>
      <c r="C4" s="1445">
        <v>2016</v>
      </c>
      <c r="D4" s="1446"/>
      <c r="E4" s="1446"/>
      <c r="F4" s="1446"/>
      <c r="G4" s="1446"/>
      <c r="H4" s="1446"/>
      <c r="I4" s="1446"/>
      <c r="J4" s="1446"/>
      <c r="K4" s="1447"/>
      <c r="L4" s="1438">
        <v>2015</v>
      </c>
      <c r="M4" s="1428"/>
      <c r="N4" s="1439"/>
      <c r="O4" s="1439"/>
      <c r="P4" s="1439"/>
      <c r="Q4" s="509"/>
      <c r="R4" s="398"/>
    </row>
    <row r="5" spans="1:18" ht="12.75" customHeight="1">
      <c r="A5" s="398"/>
      <c r="B5" s="1449"/>
      <c r="C5" s="1442" t="s">
        <v>119</v>
      </c>
      <c r="D5" s="1440" t="s">
        <v>348</v>
      </c>
      <c r="E5" s="1441"/>
      <c r="F5" s="1442" t="s">
        <v>120</v>
      </c>
      <c r="G5" s="1444" t="s">
        <v>348</v>
      </c>
      <c r="H5" s="1441"/>
      <c r="I5" s="499" t="s">
        <v>11</v>
      </c>
      <c r="J5" s="1444" t="s">
        <v>348</v>
      </c>
      <c r="K5" s="1441"/>
      <c r="L5" s="1442" t="s">
        <v>119</v>
      </c>
      <c r="M5" s="500" t="s">
        <v>551</v>
      </c>
      <c r="N5" s="1442" t="s">
        <v>120</v>
      </c>
      <c r="O5" s="500" t="s">
        <v>551</v>
      </c>
      <c r="P5" s="499" t="s">
        <v>11</v>
      </c>
      <c r="Q5" s="500" t="s">
        <v>351</v>
      </c>
      <c r="R5" s="398"/>
    </row>
    <row r="6" spans="1:18" ht="12.75" customHeight="1" thickBot="1">
      <c r="A6" s="398"/>
      <c r="B6" s="1443"/>
      <c r="C6" s="1443"/>
      <c r="D6" s="505" t="s">
        <v>349</v>
      </c>
      <c r="E6" s="506" t="s">
        <v>454</v>
      </c>
      <c r="F6" s="1443"/>
      <c r="G6" s="506" t="s">
        <v>349</v>
      </c>
      <c r="H6" s="507" t="s">
        <v>454</v>
      </c>
      <c r="I6" s="508" t="s">
        <v>350</v>
      </c>
      <c r="J6" s="506" t="s">
        <v>349</v>
      </c>
      <c r="K6" s="507" t="s">
        <v>454</v>
      </c>
      <c r="L6" s="1443"/>
      <c r="M6" s="505" t="s">
        <v>550</v>
      </c>
      <c r="N6" s="1443"/>
      <c r="O6" s="505" t="s">
        <v>550</v>
      </c>
      <c r="P6" s="508" t="s">
        <v>350</v>
      </c>
      <c r="Q6" s="506" t="s">
        <v>12</v>
      </c>
      <c r="R6" s="398"/>
    </row>
    <row r="7" spans="1:18" ht="12.75" customHeight="1">
      <c r="A7" s="398"/>
      <c r="B7" s="88" t="s">
        <v>121</v>
      </c>
      <c r="C7" s="749">
        <f>'14.Exp. Verde'!C6+'15.Exp. Solúvel'!C6+'16.Exp. Torrado'!C6+'17.Exp. Extrato'!C6</f>
        <v>403561.34</v>
      </c>
      <c r="D7" s="751">
        <v>0</v>
      </c>
      <c r="E7" s="751">
        <f aca="true" t="shared" si="0" ref="E7:E13">(C7/L7-1)*100</f>
        <v>-31.487830964491124</v>
      </c>
      <c r="F7" s="749">
        <f>'14.Exp. Verde'!D6+'15.Exp. Solúvel'!D6+'16.Exp. Torrado'!D6+'17.Exp. Extrato'!D6</f>
        <v>2754948.07</v>
      </c>
      <c r="G7" s="750" t="s">
        <v>346</v>
      </c>
      <c r="H7" s="751">
        <f aca="true" t="shared" si="1" ref="H7:H13">(F7/N7-1)*100</f>
        <v>-7.562386946332733</v>
      </c>
      <c r="I7" s="752">
        <f aca="true" t="shared" si="2" ref="I7:I13">(C7*1000)/F7</f>
        <v>146.48600617724168</v>
      </c>
      <c r="J7" s="753" t="s">
        <v>346</v>
      </c>
      <c r="K7" s="751">
        <f aca="true" t="shared" si="3" ref="K7:K13">(I7/P7-1)*100</f>
        <v>-25.88280162996832</v>
      </c>
      <c r="L7" s="749">
        <f>'14.Exp. Verde'!F6+'15.Exp. Solúvel'!F6+'16.Exp. Torrado'!F6+'17.Exp. Extrato'!F6</f>
        <v>589036</v>
      </c>
      <c r="M7" s="750" t="s">
        <v>346</v>
      </c>
      <c r="N7" s="754">
        <f>'14.Exp. Verde'!G6+'15.Exp. Solúvel'!G6+'16.Exp. Torrado'!G6+'17.Exp. Extrato'!G6</f>
        <v>2980332.3333333335</v>
      </c>
      <c r="O7" s="750" t="s">
        <v>346</v>
      </c>
      <c r="P7" s="739">
        <f aca="true" t="shared" si="4" ref="P7:P13">(L7*1000)/N7</f>
        <v>197.64104607126026</v>
      </c>
      <c r="Q7" s="750" t="s">
        <v>346</v>
      </c>
      <c r="R7" s="398"/>
    </row>
    <row r="8" spans="1:18" ht="12.75" customHeight="1">
      <c r="A8" s="841"/>
      <c r="B8" s="88" t="s">
        <v>122</v>
      </c>
      <c r="C8" s="749">
        <f>'14.Exp. Verde'!C7+'15.Exp. Solúvel'!C7+'16.Exp. Torrado'!C7+'17.Exp. Extrato'!C7</f>
        <v>447537.25</v>
      </c>
      <c r="D8" s="755">
        <f aca="true" t="shared" si="5" ref="D8:D13">(C8/C7-1)*100</f>
        <v>10.896958068381867</v>
      </c>
      <c r="E8" s="755">
        <f t="shared" si="0"/>
        <v>-17.1258008962631</v>
      </c>
      <c r="F8" s="749">
        <f>'14.Exp. Verde'!D7+'15.Exp. Solúvel'!D7+'16.Exp. Torrado'!D7+'17.Exp. Extrato'!D7</f>
        <v>3009104.4</v>
      </c>
      <c r="G8" s="755">
        <f aca="true" t="shared" si="6" ref="G8:G13">(F8/F7-1)*100</f>
        <v>9.225449029970289</v>
      </c>
      <c r="H8" s="755">
        <f t="shared" si="1"/>
        <v>8.362403897739279</v>
      </c>
      <c r="I8" s="756">
        <f t="shared" si="2"/>
        <v>148.72772443521734</v>
      </c>
      <c r="J8" s="755">
        <f>(I8/I7-1)*100</f>
        <v>1.530329289791199</v>
      </c>
      <c r="K8" s="755">
        <f t="shared" si="3"/>
        <v>-23.52126187423398</v>
      </c>
      <c r="L8" s="749">
        <f>'14.Exp. Verde'!F7+'15.Exp. Solúvel'!F7+'16.Exp. Torrado'!F7+'17.Exp. Extrato'!F7</f>
        <v>540020</v>
      </c>
      <c r="M8" s="755">
        <f aca="true" t="shared" si="7" ref="M8:M13">(L8/L7-1)*100</f>
        <v>-8.321392919957349</v>
      </c>
      <c r="N8" s="749">
        <f>'14.Exp. Verde'!G7+'15.Exp. Solúvel'!G7+'16.Exp. Torrado'!G7+'17.Exp. Extrato'!G7</f>
        <v>2776889.6700000004</v>
      </c>
      <c r="O8" s="755">
        <f aca="true" t="shared" si="8" ref="O8:O13">(N8/N7-1)*100</f>
        <v>-6.826173747737519</v>
      </c>
      <c r="P8" s="758">
        <f t="shared" si="4"/>
        <v>194.4693755153765</v>
      </c>
      <c r="Q8" s="755">
        <f aca="true" t="shared" si="9" ref="Q8:Q13">(P8/P7-1)*100</f>
        <v>-1.6047630889082676</v>
      </c>
      <c r="R8" s="398"/>
    </row>
    <row r="9" spans="1:18" ht="12.75" customHeight="1">
      <c r="A9" s="398"/>
      <c r="B9" s="88" t="s">
        <v>123</v>
      </c>
      <c r="C9" s="749">
        <f>'14.Exp. Verde'!C8+'15.Exp. Solúvel'!C8+'16.Exp. Torrado'!C8+'17.Exp. Extrato'!C8</f>
        <v>454818.861</v>
      </c>
      <c r="D9" s="755">
        <f t="shared" si="5"/>
        <v>1.6270402072676493</v>
      </c>
      <c r="E9" s="755">
        <f t="shared" si="0"/>
        <v>-20.941902877991726</v>
      </c>
      <c r="F9" s="749">
        <f>'14.Exp. Verde'!D8+'15.Exp. Solúvel'!D8+'16.Exp. Torrado'!D8+'17.Exp. Extrato'!D8</f>
        <v>3108436.921</v>
      </c>
      <c r="G9" s="755">
        <f t="shared" si="6"/>
        <v>3.301065958362903</v>
      </c>
      <c r="H9" s="755">
        <f t="shared" si="1"/>
        <v>-2.129463208227822</v>
      </c>
      <c r="I9" s="756">
        <f t="shared" si="2"/>
        <v>146.31754562150886</v>
      </c>
      <c r="J9" s="755">
        <f>(I9/I8-1)*100</f>
        <v>-1.620530955382371</v>
      </c>
      <c r="K9" s="755">
        <f t="shared" si="3"/>
        <v>-19.221759976435948</v>
      </c>
      <c r="L9" s="749">
        <f>'14.Exp. Verde'!F8+'15.Exp. Solúvel'!F8+'16.Exp. Torrado'!F8+'17.Exp. Extrato'!F8</f>
        <v>575297</v>
      </c>
      <c r="M9" s="755">
        <f t="shared" si="7"/>
        <v>6.532535832006214</v>
      </c>
      <c r="N9" s="749">
        <f>'14.Exp. Verde'!G8+'15.Exp. Solúvel'!G8+'16.Exp. Torrado'!G8+'17.Exp. Extrato'!G8</f>
        <v>3176070.166666667</v>
      </c>
      <c r="O9" s="755">
        <f t="shared" si="8"/>
        <v>14.37509386776128</v>
      </c>
      <c r="P9" s="758">
        <f t="shared" si="4"/>
        <v>181.13485213199266</v>
      </c>
      <c r="Q9" s="755">
        <f t="shared" si="9"/>
        <v>-6.856875715286847</v>
      </c>
      <c r="R9" s="398"/>
    </row>
    <row r="10" spans="1:18" ht="12.75" customHeight="1">
      <c r="A10" s="803"/>
      <c r="B10" s="88" t="s">
        <v>124</v>
      </c>
      <c r="C10" s="749">
        <f>'14.Exp. Verde'!C9+'15.Exp. Solúvel'!C9+'16.Exp. Torrado'!C9+'17.Exp. Extrato'!C9</f>
        <v>371491.378</v>
      </c>
      <c r="D10" s="755">
        <f t="shared" si="5"/>
        <v>-18.32102626896116</v>
      </c>
      <c r="E10" s="755">
        <f t="shared" si="0"/>
        <v>-29.269511691269003</v>
      </c>
      <c r="F10" s="749">
        <f>'14.Exp. Verde'!D9+'15.Exp. Solúvel'!D9+'16.Exp. Torrado'!D9+'17.Exp. Extrato'!D9</f>
        <v>2542429.4203</v>
      </c>
      <c r="G10" s="755">
        <f t="shared" si="6"/>
        <v>-18.208749769897626</v>
      </c>
      <c r="H10" s="755">
        <f t="shared" si="1"/>
        <v>-19.28577263755651</v>
      </c>
      <c r="I10" s="756">
        <f t="shared" si="2"/>
        <v>146.1166925751532</v>
      </c>
      <c r="J10" s="755">
        <f>(I10/I9-1)*100</f>
        <v>-0.13727201717504967</v>
      </c>
      <c r="K10" s="755">
        <f t="shared" si="3"/>
        <v>-12.369243168098453</v>
      </c>
      <c r="L10" s="749">
        <f>'14.Exp. Verde'!F9+'15.Exp. Solúvel'!F9+'16.Exp. Torrado'!F9+'17.Exp. Extrato'!F9</f>
        <v>525221</v>
      </c>
      <c r="M10" s="755">
        <f t="shared" si="7"/>
        <v>-8.704373567044499</v>
      </c>
      <c r="N10" s="749">
        <f>'14.Exp. Verde'!G9+'15.Exp. Solúvel'!G9+'16.Exp. Torrado'!G9+'17.Exp. Extrato'!G9</f>
        <v>3149914.8333333335</v>
      </c>
      <c r="O10" s="755">
        <f t="shared" si="8"/>
        <v>-0.8235124528367721</v>
      </c>
      <c r="P10" s="758">
        <f t="shared" si="4"/>
        <v>166.74133358843721</v>
      </c>
      <c r="Q10" s="755">
        <f t="shared" si="9"/>
        <v>-7.946299883286356</v>
      </c>
      <c r="R10" s="398"/>
    </row>
    <row r="11" spans="1:18" ht="12.75" customHeight="1">
      <c r="A11" s="398"/>
      <c r="B11" s="88" t="s">
        <v>125</v>
      </c>
      <c r="C11" s="749">
        <f>'14.Exp. Verde'!C10+'15.Exp. Solúvel'!C10+'16.Exp. Torrado'!C10+'17.Exp. Extrato'!C10+'12.Exportações'!D17</f>
        <v>361335.65299999993</v>
      </c>
      <c r="D11" s="755">
        <f t="shared" si="5"/>
        <v>-2.7337713878248016</v>
      </c>
      <c r="E11" s="755">
        <f t="shared" si="0"/>
        <v>-25.32676978315006</v>
      </c>
      <c r="F11" s="749">
        <f>'14.Exp. Verde'!D10+'15.Exp. Solúvel'!D10+'16.Exp. Torrado'!D10+'17.Exp. Extrato'!D10+'12.Exportações'!E17</f>
        <v>2480043.4343333333</v>
      </c>
      <c r="G11" s="755">
        <f t="shared" si="6"/>
        <v>-2.4537942122816236</v>
      </c>
      <c r="H11" s="755">
        <f t="shared" si="1"/>
        <v>-15.269633122798009</v>
      </c>
      <c r="I11" s="756">
        <f t="shared" si="2"/>
        <v>145.69730836070275</v>
      </c>
      <c r="J11" s="755">
        <f>(I11/I10-1)*100</f>
        <v>-0.28702005709220213</v>
      </c>
      <c r="K11" s="751">
        <f t="shared" si="3"/>
        <v>-11.869577615458283</v>
      </c>
      <c r="L11" s="749">
        <f>'14.Exp. Verde'!F10+'15.Exp. Solúvel'!F10+'16.Exp. Torrado'!F10+'17.Exp. Extrato'!F10+'12.Exportações'!G17</f>
        <v>483889.142</v>
      </c>
      <c r="M11" s="755">
        <f t="shared" si="7"/>
        <v>-7.869422205128895</v>
      </c>
      <c r="N11" s="749">
        <f>'14.Exp. Verde'!G10+'15.Exp. Solúvel'!G10+'16.Exp. Torrado'!G10+'17.Exp. Extrato'!G10</f>
        <v>2926983</v>
      </c>
      <c r="O11" s="755">
        <f t="shared" si="8"/>
        <v>-7.077392409921779</v>
      </c>
      <c r="P11" s="758">
        <f t="shared" si="4"/>
        <v>165.32010674472656</v>
      </c>
      <c r="Q11" s="755">
        <f t="shared" si="9"/>
        <v>-0.8523542502176573</v>
      </c>
      <c r="R11" s="398"/>
    </row>
    <row r="12" spans="1:18" ht="12.75" customHeight="1">
      <c r="A12" s="841"/>
      <c r="B12" s="88" t="s">
        <v>126</v>
      </c>
      <c r="C12" s="749">
        <f>'14.Exp. Verde'!C11+'15.Exp. Solúvel'!C11+'16.Exp. Torrado'!C11+'17.Exp. Extrato'!C11</f>
        <v>353979.89999999997</v>
      </c>
      <c r="D12" s="755">
        <f t="shared" si="5"/>
        <v>-2.035711931255224</v>
      </c>
      <c r="E12" s="755">
        <f t="shared" si="0"/>
        <v>-21.2664148828271</v>
      </c>
      <c r="F12" s="749">
        <f>'14.Exp. Verde'!D11+'15.Exp. Solúvel'!D11+'16.Exp. Torrado'!D11+'17.Exp. Extrato'!D11</f>
        <v>2412817.555</v>
      </c>
      <c r="G12" s="755">
        <f t="shared" si="6"/>
        <v>-2.7106734665477417</v>
      </c>
      <c r="H12" s="755">
        <f t="shared" si="1"/>
        <v>-11.642619247997288</v>
      </c>
      <c r="I12" s="756">
        <f t="shared" si="2"/>
        <v>146.70810864520584</v>
      </c>
      <c r="J12" s="755">
        <f>(I12/I11-1)*100</f>
        <v>0.6937673014525858</v>
      </c>
      <c r="K12" s="755">
        <f t="shared" si="3"/>
        <v>-10.891897827801655</v>
      </c>
      <c r="L12" s="749">
        <f>'14.Exp. Verde'!F11+'15.Exp. Solúvel'!F11+'16.Exp. Torrado'!F11+'17.Exp. Extrato'!F11</f>
        <v>449592</v>
      </c>
      <c r="M12" s="755">
        <f t="shared" si="7"/>
        <v>-7.08780979425242</v>
      </c>
      <c r="N12" s="749">
        <f>'14.Exp. Verde'!G11+'15.Exp. Solúvel'!G11+'16.Exp. Torrado'!G11+'17.Exp. Extrato'!G11</f>
        <v>2730748.1666666665</v>
      </c>
      <c r="O12" s="751">
        <f t="shared" si="8"/>
        <v>-6.7043379935357805</v>
      </c>
      <c r="P12" s="758">
        <f t="shared" si="4"/>
        <v>164.6405939178207</v>
      </c>
      <c r="Q12" s="755">
        <f t="shared" si="9"/>
        <v>-0.41102854352441653</v>
      </c>
      <c r="R12" s="398"/>
    </row>
    <row r="13" spans="1:18" ht="12.75" customHeight="1">
      <c r="A13" s="398"/>
      <c r="B13" s="838" t="s">
        <v>128</v>
      </c>
      <c r="C13" s="548">
        <f>'14.Exp. Verde'!C12+'15.Exp. Solúvel'!C12+'16.Exp. Torrado'!C12+'17.Exp. Extrato'!C12</f>
        <v>323029.811</v>
      </c>
      <c r="D13" s="759">
        <f t="shared" si="5"/>
        <v>-8.743459445013679</v>
      </c>
      <c r="E13" s="759">
        <f t="shared" si="0"/>
        <v>-29.927849482425017</v>
      </c>
      <c r="F13" s="548">
        <f>'14.Exp. Verde'!D12+'15.Exp. Solúvel'!D12+'16.Exp. Torrado'!D12+'17.Exp. Extrato'!D12</f>
        <v>2077198.5404999994</v>
      </c>
      <c r="G13" s="759">
        <f t="shared" si="6"/>
        <v>-13.909838056528923</v>
      </c>
      <c r="H13" s="759">
        <f t="shared" si="1"/>
        <v>-27.06137984783026</v>
      </c>
      <c r="I13" s="760">
        <f t="shared" si="2"/>
        <v>155.5122462787038</v>
      </c>
      <c r="J13" s="759">
        <f>(I13/I12-1)*100</f>
        <v>6.001125442077382</v>
      </c>
      <c r="K13" s="1224">
        <f t="shared" si="3"/>
        <v>-3.9299751333580435</v>
      </c>
      <c r="L13" s="548">
        <f>'14.Exp. Verde'!F12+'15.Exp. Solúvel'!F12+'16.Exp. Torrado'!F12+'17.Exp. Extrato'!F12</f>
        <v>460996</v>
      </c>
      <c r="M13" s="759">
        <f t="shared" si="7"/>
        <v>2.536522002170849</v>
      </c>
      <c r="N13" s="548">
        <f>'14.Exp. Verde'!G12+'15.Exp. Solúvel'!G12+'16.Exp. Torrado'!G12+'17.Exp. Extrato'!G12</f>
        <v>2847872</v>
      </c>
      <c r="O13" s="759">
        <f t="shared" si="8"/>
        <v>4.289074868309917</v>
      </c>
      <c r="P13" s="1138">
        <f t="shared" si="4"/>
        <v>161.87384826284327</v>
      </c>
      <c r="Q13" s="759">
        <f t="shared" si="9"/>
        <v>-1.6804759926694834</v>
      </c>
      <c r="R13" s="514"/>
    </row>
    <row r="14" spans="1:18" ht="12.75" customHeight="1">
      <c r="A14" s="398"/>
      <c r="B14" s="88" t="s">
        <v>129</v>
      </c>
      <c r="C14" s="749"/>
      <c r="D14" s="751"/>
      <c r="E14" s="751"/>
      <c r="F14" s="749"/>
      <c r="G14" s="751"/>
      <c r="H14" s="751"/>
      <c r="I14" s="752"/>
      <c r="J14" s="755"/>
      <c r="K14" s="751"/>
      <c r="L14" s="749"/>
      <c r="M14" s="751"/>
      <c r="N14" s="749"/>
      <c r="O14" s="751"/>
      <c r="P14" s="739"/>
      <c r="Q14" s="751"/>
      <c r="R14" s="398"/>
    </row>
    <row r="15" spans="1:18" ht="12.75" customHeight="1">
      <c r="A15" s="398"/>
      <c r="B15" s="88" t="s">
        <v>130</v>
      </c>
      <c r="C15" s="749"/>
      <c r="D15" s="751"/>
      <c r="E15" s="755"/>
      <c r="F15" s="749"/>
      <c r="G15" s="751"/>
      <c r="H15" s="755"/>
      <c r="I15" s="752"/>
      <c r="J15" s="755"/>
      <c r="K15" s="755"/>
      <c r="L15" s="749"/>
      <c r="M15" s="751"/>
      <c r="N15" s="749"/>
      <c r="O15" s="751"/>
      <c r="P15" s="739"/>
      <c r="Q15" s="755"/>
      <c r="R15" s="398"/>
    </row>
    <row r="16" spans="1:18" ht="14.25">
      <c r="A16" s="398"/>
      <c r="B16" s="88" t="s">
        <v>131</v>
      </c>
      <c r="C16" s="749"/>
      <c r="D16" s="755"/>
      <c r="E16" s="755"/>
      <c r="F16" s="749"/>
      <c r="G16" s="755"/>
      <c r="H16" s="755"/>
      <c r="I16" s="756"/>
      <c r="J16" s="755"/>
      <c r="K16" s="755"/>
      <c r="L16" s="757"/>
      <c r="M16" s="755"/>
      <c r="N16" s="757"/>
      <c r="O16" s="755"/>
      <c r="P16" s="758"/>
      <c r="Q16" s="755"/>
      <c r="R16" s="399"/>
    </row>
    <row r="17" spans="1:18" ht="14.25">
      <c r="A17" s="398"/>
      <c r="B17" s="88" t="s">
        <v>132</v>
      </c>
      <c r="C17" s="749"/>
      <c r="D17" s="755"/>
      <c r="E17" s="755"/>
      <c r="F17" s="749"/>
      <c r="G17" s="755"/>
      <c r="H17" s="755"/>
      <c r="I17" s="756"/>
      <c r="J17" s="755"/>
      <c r="K17" s="755"/>
      <c r="L17" s="757"/>
      <c r="M17" s="755"/>
      <c r="N17" s="757"/>
      <c r="O17" s="755"/>
      <c r="P17" s="758"/>
      <c r="Q17" s="755"/>
      <c r="R17" s="398"/>
    </row>
    <row r="18" spans="1:18" ht="14.25">
      <c r="A18" s="398"/>
      <c r="B18" s="88" t="s">
        <v>133</v>
      </c>
      <c r="C18" s="548"/>
      <c r="D18" s="759"/>
      <c r="E18" s="759"/>
      <c r="F18" s="548"/>
      <c r="G18" s="759"/>
      <c r="H18" s="759"/>
      <c r="I18" s="760"/>
      <c r="J18" s="759"/>
      <c r="K18" s="759"/>
      <c r="L18" s="740"/>
      <c r="M18" s="759"/>
      <c r="N18" s="757"/>
      <c r="O18" s="751"/>
      <c r="P18" s="746"/>
      <c r="Q18" s="759"/>
      <c r="R18" s="398"/>
    </row>
    <row r="19" spans="1:18" ht="14.25">
      <c r="A19" s="398"/>
      <c r="B19" s="411" t="s">
        <v>115</v>
      </c>
      <c r="C19" s="774">
        <f>SUM(C7:C18)</f>
        <v>2715754.193</v>
      </c>
      <c r="D19" s="775">
        <v>0</v>
      </c>
      <c r="E19" s="773">
        <f>(C19/L19-1)*100</f>
        <v>-25.063027904698377</v>
      </c>
      <c r="F19" s="776">
        <f>SUM(F7:F18)</f>
        <v>18384978.34113333</v>
      </c>
      <c r="G19" s="775">
        <v>0</v>
      </c>
      <c r="H19" s="846">
        <f>(F19/N19-1)*100</f>
        <v>-10.704027142267215</v>
      </c>
      <c r="I19" s="780">
        <f>(C19*1000)/F19</f>
        <v>147.71593105029402</v>
      </c>
      <c r="J19" s="777">
        <v>0</v>
      </c>
      <c r="K19" s="773">
        <f>(I19/P19-1)*100</f>
        <v>-16.080233299331503</v>
      </c>
      <c r="L19" s="778">
        <f>SUM(L7:L18)</f>
        <v>3624051.142</v>
      </c>
      <c r="M19" s="773">
        <v>0</v>
      </c>
      <c r="N19" s="778">
        <f>SUM(N7:N18)</f>
        <v>20588810.17</v>
      </c>
      <c r="O19" s="779">
        <v>0</v>
      </c>
      <c r="P19" s="786">
        <f>(L19*1000)/N19</f>
        <v>176.02042624496158</v>
      </c>
      <c r="Q19" s="777">
        <v>0</v>
      </c>
      <c r="R19" s="398"/>
    </row>
    <row r="20" spans="1:18" ht="12.75" customHeight="1">
      <c r="A20" s="398"/>
      <c r="B20" s="413" t="s">
        <v>116</v>
      </c>
      <c r="C20" s="414"/>
      <c r="D20" s="414"/>
      <c r="E20" s="769"/>
      <c r="F20" s="414"/>
      <c r="G20" s="414"/>
      <c r="H20" s="414"/>
      <c r="I20" s="133"/>
      <c r="J20" s="133"/>
      <c r="K20" s="133"/>
      <c r="L20" s="397"/>
      <c r="M20" s="397"/>
      <c r="N20" s="415"/>
      <c r="O20" s="415"/>
      <c r="P20" s="133"/>
      <c r="Q20" s="76"/>
      <c r="R20" s="398"/>
    </row>
    <row r="21" spans="1:18" ht="12.75" customHeight="1">
      <c r="A21" s="398"/>
      <c r="B21" s="413" t="s">
        <v>320</v>
      </c>
      <c r="C21" s="414"/>
      <c r="D21" s="414"/>
      <c r="E21" s="414"/>
      <c r="F21" s="414"/>
      <c r="G21" s="414"/>
      <c r="H21" s="414"/>
      <c r="I21" s="133"/>
      <c r="J21" s="133"/>
      <c r="K21" s="133"/>
      <c r="L21" s="397" t="s">
        <v>134</v>
      </c>
      <c r="M21" s="397"/>
      <c r="N21" s="397" t="s">
        <v>347</v>
      </c>
      <c r="O21" s="415"/>
      <c r="P21" s="133"/>
      <c r="Q21" s="76"/>
      <c r="R21" s="398"/>
    </row>
    <row r="22" spans="1:18" ht="15" customHeight="1">
      <c r="A22" s="398"/>
      <c r="B22" s="140"/>
      <c r="C22" s="414"/>
      <c r="D22" s="414"/>
      <c r="E22" s="414"/>
      <c r="F22" s="414"/>
      <c r="G22" s="414"/>
      <c r="H22" s="414"/>
      <c r="I22" s="133"/>
      <c r="J22" s="133"/>
      <c r="K22" s="133"/>
      <c r="L22" s="415"/>
      <c r="M22" s="415"/>
      <c r="N22" s="415"/>
      <c r="O22" s="415"/>
      <c r="P22" s="133"/>
      <c r="Q22" s="76"/>
      <c r="R22" s="398"/>
    </row>
    <row r="23" spans="1:18" ht="15" customHeight="1">
      <c r="A23" s="398"/>
      <c r="B23" s="416"/>
      <c r="C23" s="414"/>
      <c r="D23" s="414"/>
      <c r="E23" s="414"/>
      <c r="F23" s="414"/>
      <c r="G23" s="414"/>
      <c r="H23" s="414"/>
      <c r="I23" s="141"/>
      <c r="J23" s="141"/>
      <c r="K23" s="141"/>
      <c r="L23" s="141"/>
      <c r="M23" s="141"/>
      <c r="N23" s="141"/>
      <c r="O23" s="141"/>
      <c r="P23" s="141"/>
      <c r="Q23" s="142"/>
      <c r="R23" s="398"/>
    </row>
    <row r="24" spans="1:18" ht="15" customHeight="1">
      <c r="A24" s="398"/>
      <c r="B24" s="138"/>
      <c r="C24" s="133"/>
      <c r="D24" s="133"/>
      <c r="E24" s="133"/>
      <c r="F24" s="133"/>
      <c r="G24" s="133"/>
      <c r="H24" s="133"/>
      <c r="I24" s="133"/>
      <c r="J24" s="133"/>
      <c r="K24" s="133"/>
      <c r="L24" s="133"/>
      <c r="M24" s="133"/>
      <c r="N24" s="133"/>
      <c r="O24" s="133"/>
      <c r="P24" s="133"/>
      <c r="Q24" s="76"/>
      <c r="R24" s="398"/>
    </row>
    <row r="25" spans="1:18" ht="15" customHeight="1">
      <c r="A25" s="398"/>
      <c r="B25" s="138"/>
      <c r="C25" s="133"/>
      <c r="D25" s="133"/>
      <c r="E25" s="133"/>
      <c r="F25" s="133"/>
      <c r="G25" s="133"/>
      <c r="H25" s="133"/>
      <c r="I25" s="133"/>
      <c r="J25" s="133"/>
      <c r="K25" s="133"/>
      <c r="L25" s="133"/>
      <c r="M25" s="133"/>
      <c r="N25" s="133"/>
      <c r="O25" s="133"/>
      <c r="P25" s="133"/>
      <c r="Q25" s="76"/>
      <c r="R25" s="398"/>
    </row>
    <row r="26" spans="1:18" ht="15" customHeight="1">
      <c r="A26" s="398"/>
      <c r="B26" s="138"/>
      <c r="C26" s="133"/>
      <c r="D26" s="133"/>
      <c r="E26" s="133"/>
      <c r="F26" s="133"/>
      <c r="G26" s="133"/>
      <c r="H26" s="133"/>
      <c r="I26" s="133"/>
      <c r="J26" s="133"/>
      <c r="K26" s="133"/>
      <c r="L26" s="133"/>
      <c r="M26" s="133"/>
      <c r="N26" s="133"/>
      <c r="O26" s="133"/>
      <c r="P26" s="133"/>
      <c r="Q26" s="76"/>
      <c r="R26" s="398"/>
    </row>
    <row r="27" spans="1:18" ht="15" customHeight="1">
      <c r="A27" s="398"/>
      <c r="B27" s="138"/>
      <c r="C27" s="133"/>
      <c r="D27" s="133"/>
      <c r="E27" s="133"/>
      <c r="F27" s="133"/>
      <c r="G27" s="133"/>
      <c r="H27" s="133"/>
      <c r="I27" s="133"/>
      <c r="J27" s="133"/>
      <c r="K27" s="133"/>
      <c r="L27" s="133"/>
      <c r="M27" s="133"/>
      <c r="N27" s="133"/>
      <c r="O27" s="133"/>
      <c r="P27" s="133"/>
      <c r="Q27" s="76"/>
      <c r="R27" s="398"/>
    </row>
    <row r="28" spans="1:18" ht="15" customHeight="1">
      <c r="A28" s="398"/>
      <c r="B28" s="138"/>
      <c r="C28" s="133"/>
      <c r="D28" s="133"/>
      <c r="E28" s="133"/>
      <c r="F28" s="133"/>
      <c r="G28" s="133"/>
      <c r="H28" s="133"/>
      <c r="I28" s="133"/>
      <c r="J28" s="133"/>
      <c r="K28" s="133"/>
      <c r="L28" s="133"/>
      <c r="M28" s="133"/>
      <c r="N28" s="133"/>
      <c r="O28" s="133"/>
      <c r="P28" s="133"/>
      <c r="Q28" s="76"/>
      <c r="R28" s="398"/>
    </row>
    <row r="29" spans="1:18" ht="15" customHeight="1">
      <c r="A29" s="398"/>
      <c r="B29" s="138"/>
      <c r="C29" s="133"/>
      <c r="D29" s="133"/>
      <c r="E29" s="133"/>
      <c r="F29" s="133"/>
      <c r="G29" s="133"/>
      <c r="H29" s="133"/>
      <c r="I29" s="133"/>
      <c r="J29" s="133"/>
      <c r="K29" s="133"/>
      <c r="L29" s="133"/>
      <c r="M29" s="133"/>
      <c r="N29" s="133"/>
      <c r="O29" s="133"/>
      <c r="P29" s="133"/>
      <c r="Q29" s="76"/>
      <c r="R29" s="398"/>
    </row>
    <row r="30" spans="1:18" ht="15" customHeight="1">
      <c r="A30" s="398"/>
      <c r="B30" s="138"/>
      <c r="C30" s="133"/>
      <c r="D30" s="133"/>
      <c r="E30" s="133"/>
      <c r="F30" s="133"/>
      <c r="G30" s="133"/>
      <c r="H30" s="133"/>
      <c r="I30" s="133"/>
      <c r="J30" s="133"/>
      <c r="K30" s="133"/>
      <c r="L30" s="133"/>
      <c r="M30" s="133"/>
      <c r="N30" s="133"/>
      <c r="O30" s="133"/>
      <c r="P30" s="133"/>
      <c r="Q30" s="76"/>
      <c r="R30" s="398"/>
    </row>
    <row r="31" spans="1:18" ht="15" customHeight="1">
      <c r="A31" s="398"/>
      <c r="B31" s="138"/>
      <c r="C31" s="133"/>
      <c r="D31" s="133"/>
      <c r="E31" s="133"/>
      <c r="F31" s="133"/>
      <c r="G31" s="133"/>
      <c r="H31" s="133"/>
      <c r="I31" s="133"/>
      <c r="J31" s="133"/>
      <c r="K31" s="133"/>
      <c r="L31" s="133"/>
      <c r="M31" s="133"/>
      <c r="N31" s="133"/>
      <c r="O31" s="133"/>
      <c r="P31" s="133"/>
      <c r="Q31" s="76"/>
      <c r="R31" s="398"/>
    </row>
    <row r="32" spans="1:18" ht="15" customHeight="1">
      <c r="A32" s="398"/>
      <c r="B32" s="138"/>
      <c r="C32" s="133"/>
      <c r="D32" s="133"/>
      <c r="E32" s="133"/>
      <c r="F32" s="133"/>
      <c r="G32" s="133"/>
      <c r="H32" s="133"/>
      <c r="I32" s="133"/>
      <c r="J32" s="133"/>
      <c r="K32" s="133"/>
      <c r="L32" s="133"/>
      <c r="M32" s="133"/>
      <c r="N32" s="133"/>
      <c r="O32" s="133"/>
      <c r="P32" s="133"/>
      <c r="Q32" s="76"/>
      <c r="R32" s="398"/>
    </row>
    <row r="33" spans="1:18" ht="15" customHeight="1">
      <c r="A33" s="398"/>
      <c r="B33" s="417"/>
      <c r="C33" s="112"/>
      <c r="D33" s="112"/>
      <c r="E33" s="112"/>
      <c r="F33" s="112"/>
      <c r="G33" s="112"/>
      <c r="H33" s="112"/>
      <c r="I33" s="112"/>
      <c r="J33" s="112"/>
      <c r="K33" s="112"/>
      <c r="L33" s="112"/>
      <c r="M33" s="112"/>
      <c r="N33" s="112"/>
      <c r="O33" s="112"/>
      <c r="P33" s="112"/>
      <c r="Q33" s="418"/>
      <c r="R33" s="398"/>
    </row>
    <row r="34" spans="1:18" ht="14.25">
      <c r="A34" s="398"/>
      <c r="B34" s="400"/>
      <c r="C34" s="400"/>
      <c r="D34" s="400"/>
      <c r="E34" s="400"/>
      <c r="F34" s="400"/>
      <c r="G34" s="400"/>
      <c r="H34" s="400"/>
      <c r="I34" s="400"/>
      <c r="J34" s="400"/>
      <c r="K34" s="400"/>
      <c r="L34" s="400"/>
      <c r="M34" s="400"/>
      <c r="N34" s="400"/>
      <c r="O34" s="400"/>
      <c r="P34" s="400"/>
      <c r="Q34" s="400"/>
      <c r="R34" s="398"/>
    </row>
    <row r="35" spans="2:17" ht="14.25">
      <c r="B35" s="3"/>
      <c r="C35" s="3"/>
      <c r="D35" s="3"/>
      <c r="E35" s="3"/>
      <c r="F35" s="3"/>
      <c r="G35" s="3"/>
      <c r="H35" s="3"/>
      <c r="I35" s="3"/>
      <c r="J35" s="3"/>
      <c r="K35" s="3"/>
      <c r="L35" s="3"/>
      <c r="M35" s="3"/>
      <c r="N35" s="3"/>
      <c r="O35" s="3"/>
      <c r="P35" s="3"/>
      <c r="Q35" s="3"/>
    </row>
    <row r="36" spans="2:17" ht="14.25">
      <c r="B36" s="3"/>
      <c r="C36" s="3"/>
      <c r="D36" s="3"/>
      <c r="E36" s="3"/>
      <c r="F36" s="3"/>
      <c r="G36" s="3"/>
      <c r="H36" s="3"/>
      <c r="I36" s="3"/>
      <c r="J36" s="3"/>
      <c r="K36" s="3"/>
      <c r="L36" s="3"/>
      <c r="M36" s="3"/>
      <c r="N36" s="3"/>
      <c r="O36" s="3"/>
      <c r="P36" s="3"/>
      <c r="Q36" s="3"/>
    </row>
    <row r="37" spans="2:17" ht="14.25">
      <c r="B37" s="3"/>
      <c r="C37" s="3"/>
      <c r="D37" s="3"/>
      <c r="E37" s="3"/>
      <c r="F37" s="3"/>
      <c r="G37" s="3"/>
      <c r="H37" s="3"/>
      <c r="I37" s="3"/>
      <c r="J37" s="3"/>
      <c r="K37" s="3"/>
      <c r="L37" s="3"/>
      <c r="M37" s="3"/>
      <c r="N37" s="3"/>
      <c r="O37" s="3"/>
      <c r="P37" s="3"/>
      <c r="Q37" s="3"/>
    </row>
    <row r="38" spans="2:17" ht="14.25">
      <c r="B38" s="3"/>
      <c r="C38" s="3"/>
      <c r="D38" s="3"/>
      <c r="E38" s="3"/>
      <c r="F38" s="3"/>
      <c r="G38" s="3"/>
      <c r="H38" s="3"/>
      <c r="I38" s="3"/>
      <c r="J38" s="3"/>
      <c r="K38" s="3"/>
      <c r="L38" s="3"/>
      <c r="M38" s="3"/>
      <c r="N38" s="3"/>
      <c r="O38" s="3"/>
      <c r="P38" s="3"/>
      <c r="Q38" s="3"/>
    </row>
    <row r="39" spans="2:17" ht="14.25">
      <c r="B39" s="3"/>
      <c r="C39" s="3"/>
      <c r="D39" s="3"/>
      <c r="E39" s="3"/>
      <c r="F39" s="3"/>
      <c r="G39" s="3"/>
      <c r="H39" s="3"/>
      <c r="I39" s="3"/>
      <c r="J39" s="3"/>
      <c r="K39" s="3"/>
      <c r="L39" s="3"/>
      <c r="M39" s="3"/>
      <c r="N39" s="3"/>
      <c r="O39" s="3"/>
      <c r="P39" s="3"/>
      <c r="Q39" s="3"/>
    </row>
    <row r="40" spans="2:17" ht="14.25">
      <c r="B40" s="3"/>
      <c r="C40" s="3"/>
      <c r="D40" s="3"/>
      <c r="E40" s="3"/>
      <c r="F40" s="3"/>
      <c r="G40" s="3"/>
      <c r="H40" s="3"/>
      <c r="I40" s="3"/>
      <c r="J40" s="3"/>
      <c r="K40" s="3"/>
      <c r="L40" s="3"/>
      <c r="M40" s="3"/>
      <c r="N40" s="3"/>
      <c r="O40" s="3"/>
      <c r="P40" s="3"/>
      <c r="Q40" s="3"/>
    </row>
    <row r="41" spans="2:17" ht="14.25">
      <c r="B41" s="3"/>
      <c r="C41" s="3"/>
      <c r="D41" s="3"/>
      <c r="E41" s="3"/>
      <c r="F41" s="3"/>
      <c r="G41" s="3"/>
      <c r="H41" s="3"/>
      <c r="I41" s="3"/>
      <c r="J41" s="3"/>
      <c r="K41" s="3"/>
      <c r="L41" s="3"/>
      <c r="M41" s="3"/>
      <c r="N41" s="3"/>
      <c r="O41" s="3"/>
      <c r="P41" s="3"/>
      <c r="Q41" s="3"/>
    </row>
    <row r="42" spans="2:17" ht="14.25">
      <c r="B42" s="3"/>
      <c r="C42" s="3"/>
      <c r="D42" s="3"/>
      <c r="E42" s="3"/>
      <c r="F42" s="3"/>
      <c r="G42" s="3"/>
      <c r="H42" s="3"/>
      <c r="I42" s="3"/>
      <c r="J42" s="3"/>
      <c r="K42" s="3"/>
      <c r="L42" s="3"/>
      <c r="M42" s="3"/>
      <c r="N42" s="3"/>
      <c r="O42" s="3"/>
      <c r="P42" s="3"/>
      <c r="Q42" s="3"/>
    </row>
    <row r="43" spans="2:17" ht="14.25">
      <c r="B43" s="3"/>
      <c r="C43" s="3"/>
      <c r="D43" s="3"/>
      <c r="E43" s="3"/>
      <c r="F43" s="3"/>
      <c r="G43" s="3"/>
      <c r="H43" s="3"/>
      <c r="I43" s="3"/>
      <c r="J43" s="3"/>
      <c r="K43" s="3"/>
      <c r="L43" s="3"/>
      <c r="M43" s="3"/>
      <c r="N43" s="3"/>
      <c r="O43" s="3"/>
      <c r="P43" s="3"/>
      <c r="Q43" s="3"/>
    </row>
    <row r="44" spans="2:17" ht="14.25">
      <c r="B44" s="3"/>
      <c r="C44" s="3"/>
      <c r="D44" s="3"/>
      <c r="E44" s="3"/>
      <c r="F44" s="3"/>
      <c r="G44" s="3"/>
      <c r="H44" s="3"/>
      <c r="I44" s="3"/>
      <c r="J44" s="3"/>
      <c r="K44" s="3"/>
      <c r="L44" s="3"/>
      <c r="M44" s="3"/>
      <c r="N44" s="3"/>
      <c r="O44" s="3"/>
      <c r="P44" s="3"/>
      <c r="Q44" s="3"/>
    </row>
    <row r="45" spans="2:17" ht="14.25">
      <c r="B45" s="3"/>
      <c r="C45" s="3"/>
      <c r="D45" s="3"/>
      <c r="E45" s="3"/>
      <c r="F45" s="3"/>
      <c r="G45" s="3"/>
      <c r="H45" s="3"/>
      <c r="I45" s="3"/>
      <c r="J45" s="3"/>
      <c r="K45" s="3"/>
      <c r="L45" s="3"/>
      <c r="M45" s="3"/>
      <c r="N45" s="3"/>
      <c r="O45" s="3"/>
      <c r="P45" s="3"/>
      <c r="Q45" s="3"/>
    </row>
    <row r="46" spans="2:17" ht="14.25">
      <c r="B46" s="3"/>
      <c r="C46" s="3"/>
      <c r="D46" s="3"/>
      <c r="E46" s="3"/>
      <c r="F46" s="3"/>
      <c r="G46" s="3"/>
      <c r="H46" s="3"/>
      <c r="I46" s="3"/>
      <c r="J46" s="3"/>
      <c r="K46" s="3"/>
      <c r="L46" s="3"/>
      <c r="M46" s="3"/>
      <c r="N46" s="3"/>
      <c r="O46" s="3"/>
      <c r="P46" s="3"/>
      <c r="Q46" s="3"/>
    </row>
    <row r="47" spans="2:17" ht="14.25">
      <c r="B47" s="3"/>
      <c r="C47" s="3"/>
      <c r="D47" s="3"/>
      <c r="E47" s="3"/>
      <c r="F47" s="3"/>
      <c r="G47" s="3"/>
      <c r="H47" s="3"/>
      <c r="I47" s="3"/>
      <c r="J47" s="3"/>
      <c r="K47" s="3"/>
      <c r="L47" s="3"/>
      <c r="M47" s="3"/>
      <c r="N47" s="3"/>
      <c r="O47" s="3"/>
      <c r="P47" s="3"/>
      <c r="Q47" s="3"/>
    </row>
    <row r="48" spans="2:17" ht="14.25">
      <c r="B48" s="3"/>
      <c r="C48" s="3"/>
      <c r="D48" s="3"/>
      <c r="E48" s="3"/>
      <c r="F48" s="3"/>
      <c r="G48" s="3"/>
      <c r="H48" s="3"/>
      <c r="I48" s="3"/>
      <c r="J48" s="3"/>
      <c r="K48" s="3"/>
      <c r="L48" s="3"/>
      <c r="M48" s="3"/>
      <c r="N48" s="3"/>
      <c r="O48" s="3"/>
      <c r="P48" s="3"/>
      <c r="Q48" s="3"/>
    </row>
    <row r="49" spans="2:17" ht="14.25">
      <c r="B49" s="3"/>
      <c r="C49" s="3"/>
      <c r="D49" s="3"/>
      <c r="E49" s="3"/>
      <c r="F49" s="3"/>
      <c r="G49" s="3"/>
      <c r="H49" s="3"/>
      <c r="I49" s="3"/>
      <c r="J49" s="3"/>
      <c r="K49" s="3"/>
      <c r="L49" s="3"/>
      <c r="M49" s="3"/>
      <c r="N49" s="3"/>
      <c r="O49" s="3"/>
      <c r="P49" s="3"/>
      <c r="Q49" s="3"/>
    </row>
    <row r="50" spans="2:17" ht="14.25">
      <c r="B50" s="3"/>
      <c r="C50" s="3"/>
      <c r="D50" s="3"/>
      <c r="E50" s="3"/>
      <c r="F50" s="3"/>
      <c r="G50" s="3"/>
      <c r="H50" s="3"/>
      <c r="I50" s="3"/>
      <c r="J50" s="3"/>
      <c r="K50" s="3"/>
      <c r="L50" s="3"/>
      <c r="M50" s="3"/>
      <c r="N50" s="3"/>
      <c r="O50" s="3"/>
      <c r="P50" s="3"/>
      <c r="Q50" s="3"/>
    </row>
    <row r="51" spans="2:17" ht="14.25">
      <c r="B51" s="3"/>
      <c r="C51" s="3"/>
      <c r="D51" s="3"/>
      <c r="E51" s="3"/>
      <c r="F51" s="3"/>
      <c r="G51" s="3"/>
      <c r="H51" s="3"/>
      <c r="I51" s="3"/>
      <c r="J51" s="3"/>
      <c r="K51" s="3"/>
      <c r="L51" s="3"/>
      <c r="M51" s="3"/>
      <c r="N51" s="3"/>
      <c r="O51" s="3"/>
      <c r="P51" s="3"/>
      <c r="Q51" s="3"/>
    </row>
    <row r="52" spans="2:17" ht="14.25">
      <c r="B52" s="3"/>
      <c r="C52" s="3"/>
      <c r="D52" s="3"/>
      <c r="E52" s="3"/>
      <c r="F52" s="3"/>
      <c r="G52" s="3"/>
      <c r="H52" s="3"/>
      <c r="I52" s="3"/>
      <c r="J52" s="3"/>
      <c r="K52" s="3"/>
      <c r="L52" s="3"/>
      <c r="M52" s="3"/>
      <c r="N52" s="3"/>
      <c r="O52" s="3"/>
      <c r="P52" s="3"/>
      <c r="Q52" s="3"/>
    </row>
    <row r="53" spans="2:17" ht="14.25">
      <c r="B53" s="3"/>
      <c r="C53" s="3"/>
      <c r="D53" s="3"/>
      <c r="E53" s="3"/>
      <c r="F53" s="3"/>
      <c r="G53" s="3"/>
      <c r="H53" s="3"/>
      <c r="I53" s="3"/>
      <c r="J53" s="3"/>
      <c r="K53" s="3"/>
      <c r="L53" s="3"/>
      <c r="M53" s="3"/>
      <c r="N53" s="3"/>
      <c r="O53" s="3"/>
      <c r="P53" s="3"/>
      <c r="Q53" s="3"/>
    </row>
    <row r="54" spans="2:17" ht="14.25">
      <c r="B54" s="3"/>
      <c r="C54" s="3"/>
      <c r="D54" s="3"/>
      <c r="E54" s="3"/>
      <c r="F54" s="3"/>
      <c r="G54" s="3"/>
      <c r="H54" s="3"/>
      <c r="I54" s="3"/>
      <c r="J54" s="3"/>
      <c r="K54" s="3"/>
      <c r="L54" s="3"/>
      <c r="M54" s="3"/>
      <c r="N54" s="3"/>
      <c r="O54" s="3"/>
      <c r="P54" s="3"/>
      <c r="Q54" s="3"/>
    </row>
    <row r="55" spans="2:17" ht="14.25">
      <c r="B55" s="3"/>
      <c r="C55" s="3"/>
      <c r="D55" s="3"/>
      <c r="E55" s="3"/>
      <c r="F55" s="3"/>
      <c r="G55" s="3"/>
      <c r="H55" s="3"/>
      <c r="I55" s="3"/>
      <c r="J55" s="3"/>
      <c r="K55" s="3"/>
      <c r="L55" s="3"/>
      <c r="M55" s="3"/>
      <c r="N55" s="3"/>
      <c r="O55" s="3"/>
      <c r="P55" s="3"/>
      <c r="Q55" s="3"/>
    </row>
    <row r="56" spans="2:17" ht="14.25">
      <c r="B56" s="3"/>
      <c r="C56" s="3"/>
      <c r="D56" s="3"/>
      <c r="E56" s="3"/>
      <c r="F56" s="3"/>
      <c r="G56" s="3"/>
      <c r="H56" s="3"/>
      <c r="I56" s="3"/>
      <c r="J56" s="3"/>
      <c r="K56" s="3"/>
      <c r="L56" s="3"/>
      <c r="M56" s="3"/>
      <c r="N56" s="3"/>
      <c r="O56" s="3"/>
      <c r="P56" s="3"/>
      <c r="Q56" s="3"/>
    </row>
    <row r="57" spans="2:17" ht="14.25">
      <c r="B57" s="3"/>
      <c r="C57" s="3"/>
      <c r="D57" s="3"/>
      <c r="E57" s="3"/>
      <c r="F57" s="3"/>
      <c r="G57" s="3"/>
      <c r="H57" s="3"/>
      <c r="I57" s="3"/>
      <c r="J57" s="3"/>
      <c r="K57" s="3"/>
      <c r="L57" s="3"/>
      <c r="M57" s="3"/>
      <c r="N57" s="3"/>
      <c r="O57" s="3"/>
      <c r="P57" s="3"/>
      <c r="Q57" s="3"/>
    </row>
    <row r="58" spans="2:17" ht="14.25">
      <c r="B58" s="3"/>
      <c r="C58" s="3"/>
      <c r="D58" s="3"/>
      <c r="E58" s="3"/>
      <c r="F58" s="3"/>
      <c r="G58" s="3"/>
      <c r="H58" s="3"/>
      <c r="I58" s="3"/>
      <c r="J58" s="3"/>
      <c r="K58" s="3"/>
      <c r="L58" s="3"/>
      <c r="M58" s="3"/>
      <c r="N58" s="3"/>
      <c r="O58" s="3"/>
      <c r="P58" s="3"/>
      <c r="Q58" s="3"/>
    </row>
    <row r="59" spans="2:17" ht="14.25">
      <c r="B59" s="3"/>
      <c r="C59" s="3"/>
      <c r="D59" s="3"/>
      <c r="E59" s="3"/>
      <c r="F59" s="3"/>
      <c r="G59" s="3"/>
      <c r="H59" s="3"/>
      <c r="I59" s="3"/>
      <c r="J59" s="3"/>
      <c r="K59" s="3"/>
      <c r="L59" s="3"/>
      <c r="M59" s="3"/>
      <c r="N59" s="3"/>
      <c r="O59" s="3"/>
      <c r="P59" s="3"/>
      <c r="Q59" s="3"/>
    </row>
    <row r="60" spans="2:17" ht="14.25">
      <c r="B60" s="3"/>
      <c r="C60" s="3"/>
      <c r="D60" s="3"/>
      <c r="E60" s="3"/>
      <c r="F60" s="3"/>
      <c r="G60" s="3"/>
      <c r="H60" s="3"/>
      <c r="I60" s="3"/>
      <c r="J60" s="3"/>
      <c r="K60" s="3"/>
      <c r="L60" s="3"/>
      <c r="M60" s="3"/>
      <c r="N60" s="3"/>
      <c r="O60" s="3"/>
      <c r="P60" s="3"/>
      <c r="Q60" s="3"/>
    </row>
    <row r="61" spans="2:17" ht="14.25">
      <c r="B61" s="3"/>
      <c r="C61" s="3"/>
      <c r="D61" s="3"/>
      <c r="E61" s="3"/>
      <c r="F61" s="3"/>
      <c r="G61" s="3"/>
      <c r="H61" s="3"/>
      <c r="I61" s="3"/>
      <c r="J61" s="3"/>
      <c r="K61" s="3"/>
      <c r="L61" s="3"/>
      <c r="M61" s="3"/>
      <c r="N61" s="3"/>
      <c r="O61" s="3"/>
      <c r="P61" s="3"/>
      <c r="Q61" s="3"/>
    </row>
    <row r="62" spans="2:17" ht="14.25">
      <c r="B62" s="3"/>
      <c r="C62" s="3"/>
      <c r="D62" s="3"/>
      <c r="E62" s="3"/>
      <c r="F62" s="3"/>
      <c r="G62" s="3"/>
      <c r="H62" s="3"/>
      <c r="I62" s="3"/>
      <c r="J62" s="3"/>
      <c r="K62" s="3"/>
      <c r="L62" s="3"/>
      <c r="M62" s="3"/>
      <c r="N62" s="3"/>
      <c r="O62" s="3"/>
      <c r="P62" s="3"/>
      <c r="Q62" s="3"/>
    </row>
    <row r="63" spans="2:17" ht="14.25">
      <c r="B63" s="3"/>
      <c r="C63" s="3"/>
      <c r="D63" s="3"/>
      <c r="E63" s="3"/>
      <c r="F63" s="3"/>
      <c r="G63" s="3"/>
      <c r="H63" s="3"/>
      <c r="I63" s="3"/>
      <c r="J63" s="3"/>
      <c r="K63" s="3"/>
      <c r="L63" s="3"/>
      <c r="M63" s="3"/>
      <c r="N63" s="3"/>
      <c r="O63" s="3"/>
      <c r="P63" s="3"/>
      <c r="Q63" s="3"/>
    </row>
    <row r="64" spans="2:17" ht="14.25">
      <c r="B64" s="3"/>
      <c r="C64" s="3"/>
      <c r="D64" s="3"/>
      <c r="E64" s="3"/>
      <c r="F64" s="3"/>
      <c r="G64" s="3"/>
      <c r="H64" s="3"/>
      <c r="I64" s="3"/>
      <c r="J64" s="3"/>
      <c r="K64" s="3"/>
      <c r="L64" s="3"/>
      <c r="M64" s="3"/>
      <c r="N64" s="3"/>
      <c r="O64" s="3"/>
      <c r="P64" s="3"/>
      <c r="Q64" s="3"/>
    </row>
    <row r="65" spans="2:17" ht="14.25">
      <c r="B65" s="3"/>
      <c r="C65" s="3"/>
      <c r="D65" s="3"/>
      <c r="E65" s="3"/>
      <c r="F65" s="3"/>
      <c r="G65" s="3"/>
      <c r="H65" s="3"/>
      <c r="I65" s="3"/>
      <c r="J65" s="3"/>
      <c r="K65" s="3"/>
      <c r="L65" s="3"/>
      <c r="M65" s="3"/>
      <c r="N65" s="3"/>
      <c r="O65" s="3"/>
      <c r="P65" s="3"/>
      <c r="Q65" s="3"/>
    </row>
    <row r="66" spans="2:17" ht="14.25">
      <c r="B66" s="3"/>
      <c r="C66" s="3"/>
      <c r="D66" s="3"/>
      <c r="E66" s="3"/>
      <c r="F66" s="3"/>
      <c r="G66" s="3"/>
      <c r="H66" s="3"/>
      <c r="I66" s="3"/>
      <c r="J66" s="3"/>
      <c r="K66" s="3"/>
      <c r="L66" s="3"/>
      <c r="M66" s="3"/>
      <c r="N66" s="3"/>
      <c r="O66" s="3"/>
      <c r="P66" s="3"/>
      <c r="Q66" s="3"/>
    </row>
    <row r="67" spans="2:17" ht="14.25">
      <c r="B67" s="3"/>
      <c r="C67" s="3"/>
      <c r="D67" s="3"/>
      <c r="E67" s="3"/>
      <c r="F67" s="3"/>
      <c r="G67" s="3"/>
      <c r="H67" s="3"/>
      <c r="I67" s="3"/>
      <c r="J67" s="3"/>
      <c r="K67" s="3"/>
      <c r="L67" s="3"/>
      <c r="M67" s="3"/>
      <c r="N67" s="3"/>
      <c r="O67" s="3"/>
      <c r="P67" s="3"/>
      <c r="Q67" s="3"/>
    </row>
    <row r="68" spans="2:17" ht="14.25">
      <c r="B68" s="3"/>
      <c r="C68" s="3"/>
      <c r="D68" s="3"/>
      <c r="E68" s="3"/>
      <c r="F68" s="3"/>
      <c r="G68" s="3"/>
      <c r="H68" s="3"/>
      <c r="I68" s="3"/>
      <c r="J68" s="3"/>
      <c r="K68" s="3"/>
      <c r="L68" s="3"/>
      <c r="M68" s="3"/>
      <c r="N68" s="3"/>
      <c r="O68" s="3"/>
      <c r="P68" s="3"/>
      <c r="Q68" s="3"/>
    </row>
    <row r="69" spans="2:17" ht="14.25">
      <c r="B69" s="3"/>
      <c r="C69" s="3"/>
      <c r="D69" s="3"/>
      <c r="E69" s="3"/>
      <c r="F69" s="3"/>
      <c r="G69" s="3"/>
      <c r="H69" s="3"/>
      <c r="I69" s="3"/>
      <c r="J69" s="3"/>
      <c r="K69" s="3"/>
      <c r="L69" s="3"/>
      <c r="M69" s="3"/>
      <c r="N69" s="3"/>
      <c r="O69" s="3"/>
      <c r="P69" s="3"/>
      <c r="Q69" s="3"/>
    </row>
    <row r="70" spans="2:17" ht="14.25">
      <c r="B70" s="3"/>
      <c r="C70" s="3"/>
      <c r="D70" s="3"/>
      <c r="E70" s="3"/>
      <c r="F70" s="3"/>
      <c r="G70" s="3"/>
      <c r="H70" s="3"/>
      <c r="I70" s="3"/>
      <c r="J70" s="3"/>
      <c r="K70" s="3"/>
      <c r="L70" s="3"/>
      <c r="M70" s="3"/>
      <c r="N70" s="3"/>
      <c r="O70" s="3"/>
      <c r="P70" s="3"/>
      <c r="Q70" s="3"/>
    </row>
    <row r="71" spans="2:17" ht="14.25">
      <c r="B71" s="3"/>
      <c r="C71" s="3"/>
      <c r="D71" s="3"/>
      <c r="E71" s="3"/>
      <c r="F71" s="3"/>
      <c r="G71" s="3"/>
      <c r="H71" s="3"/>
      <c r="I71" s="3"/>
      <c r="J71" s="3"/>
      <c r="K71" s="3"/>
      <c r="L71" s="3"/>
      <c r="M71" s="3"/>
      <c r="N71" s="3"/>
      <c r="O71" s="3"/>
      <c r="P71" s="3"/>
      <c r="Q71" s="3"/>
    </row>
    <row r="72" spans="2:17" ht="14.25">
      <c r="B72" s="3"/>
      <c r="C72" s="3"/>
      <c r="D72" s="3"/>
      <c r="E72" s="3"/>
      <c r="F72" s="3"/>
      <c r="G72" s="3"/>
      <c r="H72" s="3"/>
      <c r="I72" s="3"/>
      <c r="J72" s="3"/>
      <c r="K72" s="3"/>
      <c r="L72" s="3"/>
      <c r="M72" s="3"/>
      <c r="N72" s="3"/>
      <c r="O72" s="3"/>
      <c r="P72" s="3"/>
      <c r="Q72" s="3"/>
    </row>
    <row r="73" spans="2:17" ht="14.25">
      <c r="B73" s="3"/>
      <c r="C73" s="3"/>
      <c r="D73" s="3"/>
      <c r="E73" s="3"/>
      <c r="F73" s="3"/>
      <c r="G73" s="3"/>
      <c r="H73" s="3"/>
      <c r="I73" s="3"/>
      <c r="J73" s="3"/>
      <c r="K73" s="3"/>
      <c r="L73" s="3"/>
      <c r="M73" s="3"/>
      <c r="N73" s="3"/>
      <c r="O73" s="3"/>
      <c r="P73" s="3"/>
      <c r="Q73" s="3"/>
    </row>
    <row r="74" spans="2:17" ht="14.25">
      <c r="B74" s="3"/>
      <c r="C74" s="3"/>
      <c r="D74" s="3"/>
      <c r="E74" s="3"/>
      <c r="F74" s="3"/>
      <c r="G74" s="3"/>
      <c r="H74" s="3"/>
      <c r="I74" s="3"/>
      <c r="J74" s="3"/>
      <c r="K74" s="3"/>
      <c r="L74" s="3"/>
      <c r="M74" s="3"/>
      <c r="N74" s="3"/>
      <c r="O74" s="3"/>
      <c r="P74" s="3"/>
      <c r="Q74" s="3"/>
    </row>
    <row r="75" spans="2:17" ht="14.25">
      <c r="B75" s="3"/>
      <c r="C75" s="3"/>
      <c r="D75" s="3"/>
      <c r="E75" s="3"/>
      <c r="F75" s="3"/>
      <c r="G75" s="3"/>
      <c r="H75" s="3"/>
      <c r="I75" s="3"/>
      <c r="J75" s="3"/>
      <c r="K75" s="3"/>
      <c r="L75" s="3"/>
      <c r="M75" s="3"/>
      <c r="N75" s="3"/>
      <c r="O75" s="3"/>
      <c r="P75" s="3"/>
      <c r="Q75" s="3"/>
    </row>
    <row r="76" spans="2:17" ht="14.25">
      <c r="B76" s="3"/>
      <c r="C76" s="3"/>
      <c r="D76" s="3"/>
      <c r="E76" s="3"/>
      <c r="F76" s="3"/>
      <c r="G76" s="3"/>
      <c r="H76" s="3"/>
      <c r="I76" s="3"/>
      <c r="J76" s="3"/>
      <c r="K76" s="3"/>
      <c r="L76" s="3"/>
      <c r="M76" s="3"/>
      <c r="N76" s="3"/>
      <c r="O76" s="3"/>
      <c r="P76" s="3"/>
      <c r="Q76" s="3"/>
    </row>
    <row r="77" spans="2:17" ht="14.25">
      <c r="B77" s="3"/>
      <c r="C77" s="3"/>
      <c r="D77" s="3"/>
      <c r="E77" s="3"/>
      <c r="F77" s="3"/>
      <c r="G77" s="3"/>
      <c r="H77" s="3"/>
      <c r="I77" s="3"/>
      <c r="J77" s="3"/>
      <c r="K77" s="3"/>
      <c r="L77" s="3"/>
      <c r="M77" s="3"/>
      <c r="N77" s="3"/>
      <c r="O77" s="3"/>
      <c r="P77" s="3"/>
      <c r="Q77" s="3"/>
    </row>
    <row r="78" spans="2:17" ht="14.25">
      <c r="B78" s="3"/>
      <c r="C78" s="3"/>
      <c r="D78" s="3"/>
      <c r="E78" s="3"/>
      <c r="F78" s="3"/>
      <c r="G78" s="3"/>
      <c r="H78" s="3"/>
      <c r="I78" s="3"/>
      <c r="J78" s="3"/>
      <c r="K78" s="3"/>
      <c r="L78" s="3"/>
      <c r="M78" s="3"/>
      <c r="N78" s="3"/>
      <c r="O78" s="3"/>
      <c r="P78" s="3"/>
      <c r="Q78" s="3"/>
    </row>
    <row r="79" spans="2:17" ht="14.25">
      <c r="B79" s="3"/>
      <c r="C79" s="3"/>
      <c r="D79" s="3"/>
      <c r="E79" s="3"/>
      <c r="F79" s="3"/>
      <c r="G79" s="3"/>
      <c r="H79" s="3"/>
      <c r="I79" s="3"/>
      <c r="J79" s="3"/>
      <c r="K79" s="3"/>
      <c r="L79" s="3"/>
      <c r="M79" s="3"/>
      <c r="N79" s="3"/>
      <c r="O79" s="3"/>
      <c r="P79" s="3"/>
      <c r="Q79" s="3"/>
    </row>
    <row r="80" spans="2:17" ht="14.25">
      <c r="B80" s="3"/>
      <c r="C80" s="3"/>
      <c r="D80" s="3"/>
      <c r="E80" s="3"/>
      <c r="F80" s="3"/>
      <c r="G80" s="3"/>
      <c r="H80" s="3"/>
      <c r="I80" s="3"/>
      <c r="J80" s="3"/>
      <c r="K80" s="3"/>
      <c r="L80" s="3"/>
      <c r="M80" s="3"/>
      <c r="N80" s="3"/>
      <c r="O80" s="3"/>
      <c r="P80" s="3"/>
      <c r="Q80" s="3"/>
    </row>
    <row r="81" spans="2:17" ht="14.25">
      <c r="B81" s="3"/>
      <c r="C81" s="3"/>
      <c r="D81" s="3"/>
      <c r="E81" s="3"/>
      <c r="F81" s="3"/>
      <c r="G81" s="3"/>
      <c r="H81" s="3"/>
      <c r="I81" s="3"/>
      <c r="J81" s="3"/>
      <c r="K81" s="3"/>
      <c r="L81" s="3"/>
      <c r="M81" s="3"/>
      <c r="N81" s="3"/>
      <c r="O81" s="3"/>
      <c r="P81" s="3"/>
      <c r="Q81" s="3"/>
    </row>
    <row r="82" spans="2:17" ht="14.25">
      <c r="B82" s="3"/>
      <c r="C82" s="3"/>
      <c r="D82" s="3"/>
      <c r="E82" s="3"/>
      <c r="F82" s="3"/>
      <c r="G82" s="3"/>
      <c r="H82" s="3"/>
      <c r="I82" s="3"/>
      <c r="J82" s="3"/>
      <c r="K82" s="3"/>
      <c r="L82" s="3"/>
      <c r="M82" s="3"/>
      <c r="N82" s="3"/>
      <c r="O82" s="3"/>
      <c r="P82" s="3"/>
      <c r="Q82" s="3"/>
    </row>
    <row r="83" spans="2:17" ht="14.25">
      <c r="B83" s="3"/>
      <c r="C83" s="3"/>
      <c r="D83" s="3"/>
      <c r="E83" s="3"/>
      <c r="F83" s="3"/>
      <c r="G83" s="3"/>
      <c r="H83" s="3"/>
      <c r="I83" s="3"/>
      <c r="J83" s="3"/>
      <c r="K83" s="3"/>
      <c r="L83" s="3"/>
      <c r="M83" s="3"/>
      <c r="N83" s="3"/>
      <c r="O83" s="3"/>
      <c r="P83" s="3"/>
      <c r="Q83" s="3"/>
    </row>
    <row r="84" spans="2:17" ht="14.25">
      <c r="B84" s="3"/>
      <c r="C84" s="3"/>
      <c r="D84" s="3"/>
      <c r="E84" s="3"/>
      <c r="F84" s="3"/>
      <c r="G84" s="3"/>
      <c r="H84" s="3"/>
      <c r="I84" s="3"/>
      <c r="J84" s="3"/>
      <c r="K84" s="3"/>
      <c r="L84" s="3"/>
      <c r="M84" s="3"/>
      <c r="N84" s="3"/>
      <c r="O84" s="3"/>
      <c r="P84" s="3"/>
      <c r="Q84" s="3"/>
    </row>
    <row r="85" spans="2:17" ht="14.25">
      <c r="B85" s="3"/>
      <c r="C85" s="3"/>
      <c r="D85" s="3"/>
      <c r="E85" s="3"/>
      <c r="F85" s="3"/>
      <c r="G85" s="3"/>
      <c r="H85" s="3"/>
      <c r="I85" s="3"/>
      <c r="J85" s="3"/>
      <c r="K85" s="3"/>
      <c r="L85" s="3"/>
      <c r="M85" s="3"/>
      <c r="N85" s="3"/>
      <c r="O85" s="3"/>
      <c r="P85" s="3"/>
      <c r="Q85" s="3"/>
    </row>
    <row r="86" spans="2:17" ht="14.25">
      <c r="B86" s="3"/>
      <c r="C86" s="3"/>
      <c r="D86" s="3"/>
      <c r="E86" s="3"/>
      <c r="F86" s="3"/>
      <c r="G86" s="3"/>
      <c r="H86" s="3"/>
      <c r="I86" s="3"/>
      <c r="J86" s="3"/>
      <c r="K86" s="3"/>
      <c r="L86" s="3"/>
      <c r="M86" s="3"/>
      <c r="N86" s="3"/>
      <c r="O86" s="3"/>
      <c r="P86" s="3"/>
      <c r="Q86" s="3"/>
    </row>
    <row r="87" spans="2:17" ht="14.25">
      <c r="B87" s="3"/>
      <c r="C87" s="3"/>
      <c r="D87" s="3"/>
      <c r="E87" s="3"/>
      <c r="F87" s="3"/>
      <c r="G87" s="3"/>
      <c r="H87" s="3"/>
      <c r="I87" s="3"/>
      <c r="J87" s="3"/>
      <c r="K87" s="3"/>
      <c r="L87" s="3"/>
      <c r="M87" s="3"/>
      <c r="N87" s="3"/>
      <c r="O87" s="3"/>
      <c r="P87" s="3"/>
      <c r="Q87" s="3"/>
    </row>
    <row r="88" spans="2:17" ht="14.25">
      <c r="B88" s="3"/>
      <c r="C88" s="3"/>
      <c r="D88" s="3"/>
      <c r="E88" s="3"/>
      <c r="F88" s="3"/>
      <c r="G88" s="3"/>
      <c r="H88" s="3"/>
      <c r="I88" s="3"/>
      <c r="J88" s="3"/>
      <c r="K88" s="3"/>
      <c r="L88" s="3"/>
      <c r="M88" s="3"/>
      <c r="N88" s="3"/>
      <c r="O88" s="3"/>
      <c r="P88" s="3"/>
      <c r="Q88" s="3"/>
    </row>
    <row r="89" spans="2:17" ht="14.25">
      <c r="B89" s="3"/>
      <c r="C89" s="3"/>
      <c r="D89" s="3"/>
      <c r="E89" s="3"/>
      <c r="F89" s="3"/>
      <c r="G89" s="3"/>
      <c r="H89" s="3"/>
      <c r="I89" s="3"/>
      <c r="J89" s="3"/>
      <c r="K89" s="3"/>
      <c r="L89" s="3"/>
      <c r="M89" s="3"/>
      <c r="N89" s="3"/>
      <c r="O89" s="3"/>
      <c r="P89" s="3"/>
      <c r="Q89" s="3"/>
    </row>
    <row r="90" spans="2:17" ht="14.25">
      <c r="B90" s="3"/>
      <c r="C90" s="3"/>
      <c r="D90" s="3"/>
      <c r="E90" s="3"/>
      <c r="F90" s="3"/>
      <c r="G90" s="3"/>
      <c r="H90" s="3"/>
      <c r="I90" s="3"/>
      <c r="J90" s="3"/>
      <c r="K90" s="3"/>
      <c r="L90" s="3"/>
      <c r="M90" s="3"/>
      <c r="N90" s="3"/>
      <c r="O90" s="3"/>
      <c r="P90" s="3"/>
      <c r="Q90" s="3"/>
    </row>
    <row r="91" spans="2:17" ht="14.25">
      <c r="B91" s="3"/>
      <c r="C91" s="3"/>
      <c r="D91" s="3"/>
      <c r="E91" s="3"/>
      <c r="F91" s="3"/>
      <c r="G91" s="3"/>
      <c r="H91" s="3"/>
      <c r="I91" s="3"/>
      <c r="J91" s="3"/>
      <c r="K91" s="3"/>
      <c r="L91" s="3"/>
      <c r="M91" s="3"/>
      <c r="N91" s="3"/>
      <c r="O91" s="3"/>
      <c r="P91" s="3"/>
      <c r="Q91" s="3"/>
    </row>
  </sheetData>
  <sheetProtection/>
  <mergeCells count="12">
    <mergeCell ref="A1:R1"/>
    <mergeCell ref="B2:Q2"/>
    <mergeCell ref="L4:P4"/>
    <mergeCell ref="D5:E5"/>
    <mergeCell ref="C5:C6"/>
    <mergeCell ref="G5:H5"/>
    <mergeCell ref="F5:F6"/>
    <mergeCell ref="L5:L6"/>
    <mergeCell ref="N5:N6"/>
    <mergeCell ref="J5:K5"/>
    <mergeCell ref="C4:K4"/>
    <mergeCell ref="B4:B6"/>
  </mergeCells>
  <printOptions horizontalCentered="1"/>
  <pageMargins left="0.5118110236220472" right="0.5118110236220472" top="0.7874015748031497" bottom="0.7874015748031497" header="0.31496062992125984" footer="0.31496062992125984"/>
  <pageSetup horizontalDpi="600" verticalDpi="600" orientation="landscape" paperSize="9" r:id="rId2"/>
  <drawing r:id="rId1"/>
</worksheet>
</file>

<file path=xl/worksheets/sheet23.xml><?xml version="1.0" encoding="utf-8"?>
<worksheet xmlns="http://schemas.openxmlformats.org/spreadsheetml/2006/main" xmlns:r="http://schemas.openxmlformats.org/officeDocument/2006/relationships">
  <dimension ref="A1:K129"/>
  <sheetViews>
    <sheetView zoomScalePageLayoutView="0" workbookViewId="0" topLeftCell="A1">
      <selection activeCell="M12" sqref="M12"/>
    </sheetView>
  </sheetViews>
  <sheetFormatPr defaultColWidth="9.140625" defaultRowHeight="12.75"/>
  <cols>
    <col min="1" max="1" width="20.8515625" style="0" customWidth="1"/>
    <col min="2" max="2" width="10.8515625" style="0" bestFit="1" customWidth="1"/>
    <col min="3" max="3" width="9.140625" style="0" bestFit="1" customWidth="1"/>
    <col min="4" max="4" width="8.8515625" style="0" bestFit="1" customWidth="1"/>
    <col min="5" max="5" width="10.8515625" style="0" bestFit="1" customWidth="1"/>
    <col min="6" max="6" width="10.28125" style="0" bestFit="1" customWidth="1"/>
    <col min="7" max="7" width="8.8515625" style="0" bestFit="1" customWidth="1"/>
    <col min="8" max="9" width="8.140625" style="0" bestFit="1" customWidth="1"/>
    <col min="10" max="10" width="8.8515625" style="0" bestFit="1" customWidth="1"/>
  </cols>
  <sheetData>
    <row r="1" spans="1:10" ht="12.75">
      <c r="A1" s="1450" t="s">
        <v>423</v>
      </c>
      <c r="B1" s="1450"/>
      <c r="C1" s="1450"/>
      <c r="D1" s="1450"/>
      <c r="E1" s="1450"/>
      <c r="F1" s="1450"/>
      <c r="G1" s="1450"/>
      <c r="H1" s="1450"/>
      <c r="I1" s="1450"/>
      <c r="J1" s="1450"/>
    </row>
    <row r="2" spans="1:10" ht="15.75">
      <c r="A2" s="1467" t="s">
        <v>139</v>
      </c>
      <c r="B2" s="1467"/>
      <c r="C2" s="1467"/>
      <c r="D2" s="1467"/>
      <c r="E2" s="1467"/>
      <c r="F2" s="1467"/>
      <c r="G2" s="1467"/>
      <c r="H2" s="1467"/>
      <c r="I2" s="1467"/>
      <c r="J2" s="1467"/>
    </row>
    <row r="3" spans="1:10" ht="12.75">
      <c r="A3" s="382"/>
      <c r="B3" s="382"/>
      <c r="C3" s="382"/>
      <c r="D3" s="382"/>
      <c r="E3" s="382"/>
      <c r="F3" s="382"/>
      <c r="G3" s="383"/>
      <c r="H3" s="382"/>
      <c r="I3" s="382"/>
      <c r="J3" s="382"/>
    </row>
    <row r="4" spans="1:10" ht="12.75">
      <c r="A4" s="1454" t="s">
        <v>84</v>
      </c>
      <c r="B4" s="1469" t="s">
        <v>556</v>
      </c>
      <c r="C4" s="1470"/>
      <c r="D4" s="1470"/>
      <c r="E4" s="1469" t="s">
        <v>557</v>
      </c>
      <c r="F4" s="1470"/>
      <c r="G4" s="1470"/>
      <c r="H4" s="1460" t="s">
        <v>105</v>
      </c>
      <c r="I4" s="1460"/>
      <c r="J4" s="1461"/>
    </row>
    <row r="5" spans="1:10" ht="12.75">
      <c r="A5" s="1468"/>
      <c r="B5" s="230" t="s">
        <v>106</v>
      </c>
      <c r="C5" s="230" t="s">
        <v>107</v>
      </c>
      <c r="D5" s="230" t="s">
        <v>108</v>
      </c>
      <c r="E5" s="230" t="s">
        <v>106</v>
      </c>
      <c r="F5" s="230" t="s">
        <v>107</v>
      </c>
      <c r="G5" s="230" t="s">
        <v>108</v>
      </c>
      <c r="H5" s="1459" t="s">
        <v>451</v>
      </c>
      <c r="I5" s="1459"/>
      <c r="J5" s="1471"/>
    </row>
    <row r="6" spans="1:10" ht="12.75">
      <c r="A6" s="231"/>
      <c r="B6" s="232" t="s">
        <v>109</v>
      </c>
      <c r="C6" s="232" t="s">
        <v>140</v>
      </c>
      <c r="D6" s="234" t="s">
        <v>141</v>
      </c>
      <c r="E6" s="232" t="s">
        <v>109</v>
      </c>
      <c r="F6" s="232" t="s">
        <v>140</v>
      </c>
      <c r="G6" s="230" t="s">
        <v>141</v>
      </c>
      <c r="H6" s="232" t="s">
        <v>106</v>
      </c>
      <c r="I6" s="232" t="s">
        <v>107</v>
      </c>
      <c r="J6" s="235" t="s">
        <v>108</v>
      </c>
    </row>
    <row r="7" spans="1:10" ht="12.75">
      <c r="A7" s="18" t="s">
        <v>13</v>
      </c>
      <c r="B7" s="19">
        <f>'12.Exportações'!D13</f>
        <v>2381174.675</v>
      </c>
      <c r="C7" s="19">
        <v>967862.427</v>
      </c>
      <c r="D7" s="23">
        <f aca="true" t="shared" si="0" ref="D7:D12">(B7*1000)/C7</f>
        <v>2460.240844745593</v>
      </c>
      <c r="E7" s="19">
        <f>'12.Exportações'!G13</f>
        <v>3261469</v>
      </c>
      <c r="F7" s="19">
        <v>1105765.804</v>
      </c>
      <c r="G7" s="23">
        <f aca="true" t="shared" si="1" ref="G7:G12">(E7*1000)/F7</f>
        <v>2949.511540510616</v>
      </c>
      <c r="H7" s="853">
        <f aca="true" t="shared" si="2" ref="H7:J12">SUM(B7-E7)*100/E7</f>
        <v>-26.990731017219545</v>
      </c>
      <c r="I7" s="853">
        <f t="shared" si="2"/>
        <v>-12.471300568452014</v>
      </c>
      <c r="J7" s="854">
        <f t="shared" si="2"/>
        <v>-16.5881939787332</v>
      </c>
    </row>
    <row r="8" spans="1:10" ht="12.75">
      <c r="A8" s="18" t="s">
        <v>112</v>
      </c>
      <c r="B8" s="19">
        <f>'12.Exportações'!D14</f>
        <v>303747.419</v>
      </c>
      <c r="C8" s="19">
        <v>46693.234</v>
      </c>
      <c r="D8" s="23">
        <f t="shared" si="0"/>
        <v>6505.16987107811</v>
      </c>
      <c r="E8" s="19">
        <f>'12.Exportações'!G14</f>
        <v>330630</v>
      </c>
      <c r="F8" s="19">
        <v>45009.624</v>
      </c>
      <c r="G8" s="23">
        <f t="shared" si="1"/>
        <v>7345.762319631907</v>
      </c>
      <c r="H8" s="853">
        <f t="shared" si="2"/>
        <v>-8.130714393733177</v>
      </c>
      <c r="I8" s="853">
        <f t="shared" si="2"/>
        <v>3.7405555754031474</v>
      </c>
      <c r="J8" s="854">
        <f t="shared" si="2"/>
        <v>-11.443229606099191</v>
      </c>
    </row>
    <row r="9" spans="1:10" ht="12.75">
      <c r="A9" s="18" t="s">
        <v>113</v>
      </c>
      <c r="B9" s="19">
        <f>'12.Exportações'!D15</f>
        <v>5798.23</v>
      </c>
      <c r="C9" s="490">
        <v>1025.477</v>
      </c>
      <c r="D9" s="23">
        <f t="shared" si="0"/>
        <v>5654.178494495732</v>
      </c>
      <c r="E9" s="19">
        <f>'12.Exportações'!G15</f>
        <v>6145</v>
      </c>
      <c r="F9" s="19">
        <v>998.047</v>
      </c>
      <c r="G9" s="23">
        <f t="shared" si="1"/>
        <v>6157.024669178906</v>
      </c>
      <c r="H9" s="853">
        <f t="shared" si="2"/>
        <v>-5.643124491456476</v>
      </c>
      <c r="I9" s="853">
        <f t="shared" si="2"/>
        <v>2.748367561848296</v>
      </c>
      <c r="J9" s="854">
        <f t="shared" si="2"/>
        <v>-8.167031995183372</v>
      </c>
    </row>
    <row r="10" spans="1:10" ht="12.75">
      <c r="A10" s="20" t="s">
        <v>114</v>
      </c>
      <c r="B10" s="19">
        <f>'12.Exportações'!D16</f>
        <v>25022.053</v>
      </c>
      <c r="C10" s="490">
        <v>4849.269</v>
      </c>
      <c r="D10" s="23">
        <f t="shared" si="0"/>
        <v>5159.963903837877</v>
      </c>
      <c r="E10" s="19">
        <f>'12.Exportações'!G16</f>
        <v>25777</v>
      </c>
      <c r="F10" s="19">
        <v>4365.934</v>
      </c>
      <c r="G10" s="23">
        <f t="shared" si="1"/>
        <v>5904.120401270381</v>
      </c>
      <c r="H10" s="853">
        <f t="shared" si="2"/>
        <v>-2.9287620747177723</v>
      </c>
      <c r="I10" s="855">
        <f t="shared" si="2"/>
        <v>11.070597952236566</v>
      </c>
      <c r="J10" s="856">
        <f t="shared" si="2"/>
        <v>-12.604019682125465</v>
      </c>
    </row>
    <row r="11" spans="1:11" ht="12.75">
      <c r="A11" s="20" t="s">
        <v>275</v>
      </c>
      <c r="B11" s="490">
        <f>'12.Exportações'!D17</f>
        <v>11.816</v>
      </c>
      <c r="C11" s="490">
        <v>2.08</v>
      </c>
      <c r="D11" s="733">
        <f t="shared" si="0"/>
        <v>5680.7692307692305</v>
      </c>
      <c r="E11" s="490">
        <v>30.142</v>
      </c>
      <c r="F11" s="490">
        <v>1.76</v>
      </c>
      <c r="G11" s="23">
        <f t="shared" si="1"/>
        <v>17126.136363636364</v>
      </c>
      <c r="H11" s="853">
        <f t="shared" si="2"/>
        <v>-60.798885276358575</v>
      </c>
      <c r="I11" s="853">
        <f t="shared" si="2"/>
        <v>18.181818181818187</v>
      </c>
      <c r="J11" s="856">
        <f t="shared" si="2"/>
        <v>-66.82982600307263</v>
      </c>
      <c r="K11" s="4"/>
    </row>
    <row r="12" spans="1:10" ht="12.75">
      <c r="A12" s="236" t="s">
        <v>115</v>
      </c>
      <c r="B12" s="237">
        <f>SUM(B7:B11)</f>
        <v>2715754.1929999995</v>
      </c>
      <c r="C12" s="237">
        <f>SUM(C7:C11)</f>
        <v>1020432.487</v>
      </c>
      <c r="D12" s="865">
        <f t="shared" si="0"/>
        <v>2661.3756692362144</v>
      </c>
      <c r="E12" s="237">
        <f>SUM(E7:E11)</f>
        <v>3624051.142</v>
      </c>
      <c r="F12" s="237">
        <f>SUM(F7:F11)</f>
        <v>1156141.169</v>
      </c>
      <c r="G12" s="865">
        <f t="shared" si="1"/>
        <v>3134.60954351674</v>
      </c>
      <c r="H12" s="857">
        <f>SUM(B12-E12)*100/E12</f>
        <v>-25.063027904698384</v>
      </c>
      <c r="I12" s="858">
        <f t="shared" si="2"/>
        <v>-11.738071927442974</v>
      </c>
      <c r="J12" s="859">
        <f t="shared" si="2"/>
        <v>-15.09705970427185</v>
      </c>
    </row>
    <row r="13" spans="1:10" ht="12.75">
      <c r="A13" s="238" t="s">
        <v>116</v>
      </c>
      <c r="B13" s="842"/>
      <c r="C13" s="842"/>
      <c r="D13" s="843"/>
      <c r="E13" s="842"/>
      <c r="F13" s="842"/>
      <c r="G13" s="843"/>
      <c r="H13" s="844"/>
      <c r="I13" s="845"/>
      <c r="J13" s="844"/>
    </row>
    <row r="14" spans="1:10" ht="12.75">
      <c r="A14" s="233" t="s">
        <v>320</v>
      </c>
      <c r="B14" s="6"/>
      <c r="C14" s="6"/>
      <c r="D14" s="6"/>
      <c r="E14" s="6"/>
      <c r="F14" s="6"/>
      <c r="G14" s="21"/>
      <c r="H14" s="6"/>
      <c r="I14" s="6"/>
      <c r="J14" s="6"/>
    </row>
    <row r="15" spans="1:10" ht="12.75">
      <c r="A15" s="22" t="s">
        <v>142</v>
      </c>
      <c r="B15" s="6"/>
      <c r="C15" s="6"/>
      <c r="D15" s="6"/>
      <c r="E15" s="6"/>
      <c r="F15" s="6"/>
      <c r="G15" s="21"/>
      <c r="H15" s="6"/>
      <c r="I15" s="6"/>
      <c r="J15" s="6"/>
    </row>
    <row r="16" spans="1:10" ht="12.75">
      <c r="A16" s="22" t="s">
        <v>143</v>
      </c>
      <c r="B16" s="6"/>
      <c r="C16" s="6"/>
      <c r="D16" s="6"/>
      <c r="E16" s="6"/>
      <c r="F16" s="6"/>
      <c r="G16" s="21"/>
      <c r="H16" s="6"/>
      <c r="I16" s="6"/>
      <c r="J16" s="6"/>
    </row>
    <row r="17" spans="1:10" ht="12.75">
      <c r="A17" s="22" t="s">
        <v>144</v>
      </c>
      <c r="B17" s="6"/>
      <c r="C17" s="6"/>
      <c r="D17" s="6"/>
      <c r="E17" s="6"/>
      <c r="F17" s="6"/>
      <c r="G17" s="21"/>
      <c r="H17" s="6"/>
      <c r="I17" s="6"/>
      <c r="J17" s="6"/>
    </row>
    <row r="18" spans="1:10" ht="12.75">
      <c r="A18" s="22" t="s">
        <v>352</v>
      </c>
      <c r="B18" s="6"/>
      <c r="C18" s="6"/>
      <c r="D18" s="6"/>
      <c r="E18" s="6"/>
      <c r="F18" s="6"/>
      <c r="G18" s="21"/>
      <c r="H18" s="6"/>
      <c r="I18" s="6"/>
      <c r="J18" s="6"/>
    </row>
    <row r="19" spans="1:10" ht="12.75">
      <c r="A19" s="22"/>
      <c r="B19" s="6"/>
      <c r="C19" s="6"/>
      <c r="D19" s="6"/>
      <c r="E19" s="6"/>
      <c r="F19" s="6"/>
      <c r="G19" s="21"/>
      <c r="H19" s="6"/>
      <c r="I19" s="6"/>
      <c r="J19" s="6"/>
    </row>
    <row r="20" spans="1:10" ht="12.75">
      <c r="A20" s="1452" t="s">
        <v>145</v>
      </c>
      <c r="B20" s="1452"/>
      <c r="C20" s="1452"/>
      <c r="D20" s="1452"/>
      <c r="E20" s="1452"/>
      <c r="F20" s="1452"/>
      <c r="G20" s="1452"/>
      <c r="H20" s="1452"/>
      <c r="I20" s="1452"/>
      <c r="J20" s="1452"/>
    </row>
    <row r="21" spans="1:10" ht="12.75">
      <c r="A21" s="1452" t="s">
        <v>321</v>
      </c>
      <c r="B21" s="1452"/>
      <c r="C21" s="1452"/>
      <c r="D21" s="1452"/>
      <c r="E21" s="1452"/>
      <c r="F21" s="1452"/>
      <c r="G21" s="1452"/>
      <c r="H21" s="1452"/>
      <c r="I21" s="1452"/>
      <c r="J21" s="1452"/>
    </row>
    <row r="22" spans="1:10" ht="12.75">
      <c r="A22" s="239"/>
      <c r="B22" s="239"/>
      <c r="C22" s="239"/>
      <c r="D22" s="239"/>
      <c r="E22" s="239"/>
      <c r="F22" s="239"/>
      <c r="G22" s="240"/>
      <c r="H22" s="239"/>
      <c r="I22" s="239"/>
      <c r="J22" s="239"/>
    </row>
    <row r="23" spans="1:10" ht="12.75">
      <c r="A23" s="1465" t="s">
        <v>146</v>
      </c>
      <c r="B23" s="1466"/>
      <c r="C23" s="1466"/>
      <c r="D23" s="239"/>
      <c r="E23" s="239"/>
      <c r="F23" s="239"/>
      <c r="G23" s="240"/>
      <c r="H23" s="239"/>
      <c r="I23" s="239"/>
      <c r="J23" s="239"/>
    </row>
    <row r="24" spans="1:10" ht="12.75">
      <c r="A24" s="6"/>
      <c r="B24" s="6"/>
      <c r="C24" s="6"/>
      <c r="D24" s="6"/>
      <c r="E24" s="6"/>
      <c r="F24" s="6"/>
      <c r="G24" s="21"/>
      <c r="H24" s="6"/>
      <c r="I24" s="6"/>
      <c r="J24" s="6"/>
    </row>
    <row r="25" spans="1:10" ht="12.75">
      <c r="A25" s="1454" t="s">
        <v>147</v>
      </c>
      <c r="B25" s="1458" t="str">
        <f>B4</f>
        <v>Jan a Jun/2016</v>
      </c>
      <c r="C25" s="1459"/>
      <c r="D25" s="1459"/>
      <c r="E25" s="1458" t="str">
        <f>E4</f>
        <v>Jan a Jun/2015</v>
      </c>
      <c r="F25" s="1459"/>
      <c r="G25" s="1459"/>
      <c r="H25" s="1460" t="s">
        <v>105</v>
      </c>
      <c r="I25" s="1460"/>
      <c r="J25" s="1461"/>
    </row>
    <row r="26" spans="1:10" ht="12.75">
      <c r="A26" s="1455"/>
      <c r="B26" s="241" t="s">
        <v>106</v>
      </c>
      <c r="C26" s="232" t="s">
        <v>148</v>
      </c>
      <c r="D26" s="234" t="s">
        <v>108</v>
      </c>
      <c r="E26" s="232" t="s">
        <v>106</v>
      </c>
      <c r="F26" s="232" t="s">
        <v>148</v>
      </c>
      <c r="G26" s="230" t="s">
        <v>108</v>
      </c>
      <c r="H26" s="1460" t="str">
        <f>H5</f>
        <v>(16/15)</v>
      </c>
      <c r="I26" s="1460"/>
      <c r="J26" s="1461"/>
    </row>
    <row r="27" spans="1:10" ht="12.75">
      <c r="A27" s="242"/>
      <c r="B27" s="243" t="s">
        <v>149</v>
      </c>
      <c r="C27" s="244" t="s">
        <v>140</v>
      </c>
      <c r="D27" s="245" t="s">
        <v>141</v>
      </c>
      <c r="E27" s="243" t="s">
        <v>149</v>
      </c>
      <c r="F27" s="244" t="s">
        <v>140</v>
      </c>
      <c r="G27" s="246" t="s">
        <v>141</v>
      </c>
      <c r="H27" s="244" t="s">
        <v>106</v>
      </c>
      <c r="I27" s="244" t="s">
        <v>107</v>
      </c>
      <c r="J27" s="247" t="s">
        <v>108</v>
      </c>
    </row>
    <row r="28" spans="1:10" ht="12.75">
      <c r="A28" s="524" t="s">
        <v>322</v>
      </c>
      <c r="B28" s="490">
        <v>1247918.019</v>
      </c>
      <c r="C28" s="490">
        <v>511828.073</v>
      </c>
      <c r="D28" s="733">
        <f>(B28*1000)/C28</f>
        <v>2438.1586021366984</v>
      </c>
      <c r="E28" s="490">
        <v>1739341.284</v>
      </c>
      <c r="F28" s="490">
        <v>583384.403</v>
      </c>
      <c r="G28" s="733">
        <f>(E28*1000)/F28</f>
        <v>2981.466893964938</v>
      </c>
      <c r="H28" s="855">
        <f>SUM(B28-E28)*100/E28</f>
        <v>-28.253412341818475</v>
      </c>
      <c r="I28" s="855">
        <f>SUM(C28-F28)*100/F28</f>
        <v>-12.26572558882759</v>
      </c>
      <c r="J28" s="856">
        <f>SUM(D28-G28)*100/G28</f>
        <v>-18.22285174214076</v>
      </c>
    </row>
    <row r="29" spans="1:10" ht="12.75">
      <c r="A29" s="18" t="s">
        <v>280</v>
      </c>
      <c r="B29" s="1257">
        <v>459380.987</v>
      </c>
      <c r="C29" s="1257">
        <v>187682.011</v>
      </c>
      <c r="D29" s="23">
        <f>(B29*1000)/C29</f>
        <v>2447.6559290490554</v>
      </c>
      <c r="E29" s="1257">
        <v>680223.682</v>
      </c>
      <c r="F29" s="1257">
        <v>237508.024</v>
      </c>
      <c r="G29" s="23">
        <f>(E29*1000)/F29</f>
        <v>2864.002952590772</v>
      </c>
      <c r="H29" s="853">
        <f>SUM(B29-E29)*100/E29</f>
        <v>-32.46618735041336</v>
      </c>
      <c r="I29" s="853">
        <f>SUM(C29-F29)*100/F29</f>
        <v>-20.978665125014896</v>
      </c>
      <c r="J29" s="854">
        <f>SUM(D29-G29)*100/G29</f>
        <v>-14.537241421664385</v>
      </c>
    </row>
    <row r="30" spans="1:10" ht="12.75">
      <c r="A30" s="18" t="s">
        <v>281</v>
      </c>
      <c r="B30" s="1257">
        <v>213616.071</v>
      </c>
      <c r="C30" s="1257">
        <v>73342.004</v>
      </c>
      <c r="D30" s="23">
        <f>(B30*1000)/C30</f>
        <v>2912.6020472524856</v>
      </c>
      <c r="E30" s="1257">
        <v>255139.089</v>
      </c>
      <c r="F30" s="1257">
        <v>72519.969</v>
      </c>
      <c r="G30" s="23">
        <f>(E30*1000)/F30</f>
        <v>3518.1908172078784</v>
      </c>
      <c r="H30" s="853">
        <f>SUM(B30-E30)*100/E30</f>
        <v>-16.27465950542765</v>
      </c>
      <c r="I30" s="853">
        <f>SUM(C30-F30)*100/F30</f>
        <v>1.1335291662907405</v>
      </c>
      <c r="J30" s="854">
        <f>SUM(D30-G30)*100/G30</f>
        <v>-17.213073463593506</v>
      </c>
    </row>
    <row r="31" spans="1:10" ht="12.75">
      <c r="A31" s="18" t="s">
        <v>282</v>
      </c>
      <c r="B31" s="1257">
        <v>61329.031</v>
      </c>
      <c r="C31" s="1257">
        <v>24158.015</v>
      </c>
      <c r="D31" s="23">
        <f>(B31*1000)/C31</f>
        <v>2538.661847838078</v>
      </c>
      <c r="E31" s="1257">
        <v>82481.452</v>
      </c>
      <c r="F31" s="1257">
        <v>22965.868</v>
      </c>
      <c r="G31" s="23">
        <f>(E31*1000)/F31</f>
        <v>3591.4798430435985</v>
      </c>
      <c r="H31" s="853">
        <f aca="true" t="shared" si="3" ref="H31:J33">SUM(B31-E31)*100/E31</f>
        <v>-25.645063813862055</v>
      </c>
      <c r="I31" s="853">
        <f t="shared" si="3"/>
        <v>5.190951197664294</v>
      </c>
      <c r="J31" s="854">
        <f t="shared" si="3"/>
        <v>-29.31432282001367</v>
      </c>
    </row>
    <row r="32" spans="1:10" ht="12.75">
      <c r="A32" s="18" t="s">
        <v>283</v>
      </c>
      <c r="B32" s="1257">
        <v>48985.191</v>
      </c>
      <c r="C32" s="1257">
        <v>21858.313</v>
      </c>
      <c r="D32" s="23">
        <f>(B32*1000)/C32</f>
        <v>2241.032553610153</v>
      </c>
      <c r="E32" s="1257">
        <v>65304.358</v>
      </c>
      <c r="F32" s="1257">
        <v>26296.39</v>
      </c>
      <c r="G32" s="23">
        <f>(E32*1000)/F32</f>
        <v>2483.3963140948244</v>
      </c>
      <c r="H32" s="853">
        <f t="shared" si="3"/>
        <v>-24.989399635473028</v>
      </c>
      <c r="I32" s="853">
        <f t="shared" si="3"/>
        <v>-16.877134085705304</v>
      </c>
      <c r="J32" s="854">
        <f t="shared" si="3"/>
        <v>-9.759367005141533</v>
      </c>
    </row>
    <row r="33" spans="1:10" ht="12.75">
      <c r="A33" s="18" t="s">
        <v>323</v>
      </c>
      <c r="B33" s="1257">
        <v>39962.919</v>
      </c>
      <c r="C33" s="1257">
        <v>15723.871</v>
      </c>
      <c r="D33" s="23">
        <f>(B33*1000)/C33</f>
        <v>2541.5445725801237</v>
      </c>
      <c r="E33" s="1257">
        <v>41404.911</v>
      </c>
      <c r="F33" s="1257">
        <v>14104.541</v>
      </c>
      <c r="G33" s="23">
        <f>(E33*1000)/F33</f>
        <v>2935.5730895461256</v>
      </c>
      <c r="H33" s="853">
        <f t="shared" si="3"/>
        <v>-3.482659339613116</v>
      </c>
      <c r="I33" s="853">
        <f>SUM(C33-F33)*100/F33</f>
        <v>11.48091242387824</v>
      </c>
      <c r="J33" s="854">
        <f>SUM(D33-G33)*100/G33</f>
        <v>-13.422541525849843</v>
      </c>
    </row>
    <row r="34" spans="1:10" ht="12.75">
      <c r="A34" s="18" t="s">
        <v>324</v>
      </c>
      <c r="B34" s="1257">
        <v>35575.135</v>
      </c>
      <c r="C34" s="1257">
        <v>14722.795</v>
      </c>
      <c r="D34" s="23">
        <f aca="true" t="shared" si="4" ref="D34:D41">(B34*1000)/C34</f>
        <v>2416.330255226674</v>
      </c>
      <c r="E34" s="1257">
        <v>36484.574</v>
      </c>
      <c r="F34" s="1257">
        <v>12730.484</v>
      </c>
      <c r="G34" s="23">
        <f aca="true" t="shared" si="5" ref="G34:G41">(E34*1000)/F34</f>
        <v>2865.921986940952</v>
      </c>
      <c r="H34" s="853">
        <f aca="true" t="shared" si="6" ref="H34:J35">SUM(B34-E34)*100/E34</f>
        <v>-2.492667174899722</v>
      </c>
      <c r="I34" s="853">
        <f t="shared" si="6"/>
        <v>15.649923443601985</v>
      </c>
      <c r="J34" s="854">
        <f t="shared" si="6"/>
        <v>-15.687507676863401</v>
      </c>
    </row>
    <row r="35" spans="1:10" ht="12.75">
      <c r="A35" s="18" t="s">
        <v>293</v>
      </c>
      <c r="B35" s="1257">
        <v>30234.489</v>
      </c>
      <c r="C35" s="1257">
        <v>14453.267</v>
      </c>
      <c r="D35" s="23">
        <f t="shared" si="4"/>
        <v>2091.8792270287404</v>
      </c>
      <c r="E35" s="1257">
        <v>48246.475</v>
      </c>
      <c r="F35" s="1257">
        <v>22487.71</v>
      </c>
      <c r="G35" s="23">
        <f t="shared" si="5"/>
        <v>2145.4596755294338</v>
      </c>
      <c r="H35" s="853">
        <f t="shared" si="6"/>
        <v>-37.33326838903774</v>
      </c>
      <c r="I35" s="853">
        <f t="shared" si="6"/>
        <v>-35.72815106562651</v>
      </c>
      <c r="J35" s="854">
        <f t="shared" si="6"/>
        <v>-2.4973878144538584</v>
      </c>
    </row>
    <row r="36" spans="1:10" ht="12.75">
      <c r="A36" s="18" t="s">
        <v>286</v>
      </c>
      <c r="B36" s="1257">
        <v>30157.904</v>
      </c>
      <c r="C36" s="1257">
        <v>14517.501</v>
      </c>
      <c r="D36" s="23">
        <f>(B36*1000)/C36</f>
        <v>2077.348160678618</v>
      </c>
      <c r="E36" s="1257">
        <v>40608.308</v>
      </c>
      <c r="F36" s="1257">
        <v>16832.578</v>
      </c>
      <c r="G36" s="23">
        <f>(E36*1000)/F36</f>
        <v>2412.4829838899304</v>
      </c>
      <c r="H36" s="853">
        <f aca="true" t="shared" si="7" ref="H36:J38">SUM(B36-E36)*100/E36</f>
        <v>-25.734645235649808</v>
      </c>
      <c r="I36" s="853">
        <f t="shared" si="7"/>
        <v>-13.75354981275002</v>
      </c>
      <c r="J36" s="854">
        <f t="shared" si="7"/>
        <v>-13.891696872030781</v>
      </c>
    </row>
    <row r="37" spans="1:10" ht="12.75">
      <c r="A37" s="524" t="s">
        <v>398</v>
      </c>
      <c r="B37" s="1257">
        <v>25229.909</v>
      </c>
      <c r="C37" s="1257">
        <v>8171.242</v>
      </c>
      <c r="D37" s="23">
        <f>(B37*1000)/C37</f>
        <v>3087.646773893124</v>
      </c>
      <c r="E37" s="1257">
        <v>23208.351</v>
      </c>
      <c r="F37" s="1257">
        <v>6913.559</v>
      </c>
      <c r="G37" s="23">
        <f>(E37*1000)/F37</f>
        <v>3356.9325147872464</v>
      </c>
      <c r="H37" s="853">
        <f>SUM(B37-E37)*100/E37</f>
        <v>8.71047667281489</v>
      </c>
      <c r="I37" s="853">
        <f>SUM(C37-F37)*100/F37</f>
        <v>18.191542156507236</v>
      </c>
      <c r="J37" s="854">
        <f>SUM(D37-G37)*100/G37</f>
        <v>-8.021779994322848</v>
      </c>
    </row>
    <row r="38" spans="1:10" ht="12.75">
      <c r="A38" s="524" t="s">
        <v>457</v>
      </c>
      <c r="B38" s="1257">
        <v>23922.758</v>
      </c>
      <c r="C38" s="1257">
        <v>11471.2</v>
      </c>
      <c r="D38" s="23">
        <f>(B38*1000)/C38</f>
        <v>2085.4625496896574</v>
      </c>
      <c r="E38" s="1257">
        <v>35589.438</v>
      </c>
      <c r="F38" s="1257">
        <v>14823.295</v>
      </c>
      <c r="G38" s="23">
        <f>(E38*1000)/F38</f>
        <v>2400.912752529043</v>
      </c>
      <c r="H38" s="853">
        <f t="shared" si="7"/>
        <v>-32.78129876622384</v>
      </c>
      <c r="I38" s="853">
        <f t="shared" si="7"/>
        <v>-22.613696887230535</v>
      </c>
      <c r="J38" s="854">
        <f t="shared" si="7"/>
        <v>-13.138761602523893</v>
      </c>
    </row>
    <row r="39" spans="1:10" ht="12.75">
      <c r="A39" s="524" t="s">
        <v>504</v>
      </c>
      <c r="B39" s="1257">
        <v>20322.75</v>
      </c>
      <c r="C39" s="1257">
        <v>8122</v>
      </c>
      <c r="D39" s="23">
        <f t="shared" si="4"/>
        <v>2502.1854223097757</v>
      </c>
      <c r="E39" s="1257">
        <v>26921.223</v>
      </c>
      <c r="F39" s="1257">
        <v>8716.275</v>
      </c>
      <c r="G39" s="23">
        <f t="shared" si="5"/>
        <v>3088.615607011023</v>
      </c>
      <c r="H39" s="853">
        <f>SUM(B39-E39)*100/E39</f>
        <v>-24.510301779380534</v>
      </c>
      <c r="I39" s="853">
        <f>SUM(C39-F39)*100/F39</f>
        <v>-6.81799277787816</v>
      </c>
      <c r="J39" s="854">
        <f>SUM(D39-G39)*100/G39</f>
        <v>-18.986829677674233</v>
      </c>
    </row>
    <row r="40" spans="1:10" ht="12.75">
      <c r="A40" s="734" t="s">
        <v>474</v>
      </c>
      <c r="B40" s="1257">
        <v>14412.514</v>
      </c>
      <c r="C40" s="1257">
        <v>6967.411</v>
      </c>
      <c r="D40" s="23">
        <f>(B40*1000)/C40</f>
        <v>2068.560904473699</v>
      </c>
      <c r="E40" s="1257">
        <v>16442.039</v>
      </c>
      <c r="F40" s="1257">
        <v>7123.94</v>
      </c>
      <c r="G40" s="23">
        <f>(E40*1000)/F40</f>
        <v>2307.9979618020366</v>
      </c>
      <c r="H40" s="853">
        <f>SUM(B40-E40)*100/E40</f>
        <v>-12.343511653268804</v>
      </c>
      <c r="I40" s="853">
        <f>SUM(C40-F40)*100/F40</f>
        <v>-2.1972251310370323</v>
      </c>
      <c r="J40" s="854">
        <f>SUM(D40-G40)*100/G40</f>
        <v>-10.374231749381192</v>
      </c>
    </row>
    <row r="41" spans="1:10" ht="12.75">
      <c r="A41" s="524" t="s">
        <v>456</v>
      </c>
      <c r="B41" s="1257">
        <v>12013.79</v>
      </c>
      <c r="C41" s="1257">
        <v>6260.532</v>
      </c>
      <c r="D41" s="23">
        <f t="shared" si="4"/>
        <v>1918.9727007225583</v>
      </c>
      <c r="E41" s="1257">
        <v>18094.935</v>
      </c>
      <c r="F41" s="1257">
        <v>7940.246</v>
      </c>
      <c r="G41" s="23">
        <f t="shared" si="5"/>
        <v>2278.888462649646</v>
      </c>
      <c r="H41" s="853">
        <f>SUM(B41-E41)*100/E41</f>
        <v>-33.60689054699561</v>
      </c>
      <c r="I41" s="853">
        <f>SUM(C41-F41)*100/F41</f>
        <v>-21.15443274679399</v>
      </c>
      <c r="J41" s="854">
        <f>SUM(D41-G41)*100/G41</f>
        <v>-15.793478611437457</v>
      </c>
    </row>
    <row r="42" spans="1:10" ht="12.75">
      <c r="A42" s="524" t="s">
        <v>455</v>
      </c>
      <c r="B42" s="1257">
        <v>10711.03</v>
      </c>
      <c r="C42" s="1257">
        <v>3948.096</v>
      </c>
      <c r="D42" s="23">
        <f>(B42*1000)/C42</f>
        <v>2712.960880383861</v>
      </c>
      <c r="E42" s="1257">
        <v>10610.437</v>
      </c>
      <c r="F42" s="1257">
        <v>3000.475</v>
      </c>
      <c r="G42" s="23">
        <f>(E42*1000)/F42</f>
        <v>3536.2524266991063</v>
      </c>
      <c r="H42" s="853">
        <f>SUM(B42-E42)*100/E42</f>
        <v>0.9480570875638841</v>
      </c>
      <c r="I42" s="853">
        <f>SUM(C42-F42)*100/F42</f>
        <v>31.582366125363485</v>
      </c>
      <c r="J42" s="854">
        <f>SUM(D42-G42)*100/G42</f>
        <v>-23.28146995670617</v>
      </c>
    </row>
    <row r="43" spans="1:10" ht="12.75">
      <c r="A43" s="248" t="s">
        <v>127</v>
      </c>
      <c r="B43" s="249">
        <f>SUM(B28:B42)</f>
        <v>2273772.497</v>
      </c>
      <c r="C43" s="249">
        <f>SUM(C28:C42)</f>
        <v>923226.331</v>
      </c>
      <c r="D43" s="250">
        <f>(B43*1000)/C43</f>
        <v>2462.8549042109157</v>
      </c>
      <c r="E43" s="249">
        <f>SUM(E28:E42)</f>
        <v>3120100.5560000003</v>
      </c>
      <c r="F43" s="249">
        <f>SUM(F28:F42)</f>
        <v>1057347.7570000002</v>
      </c>
      <c r="G43" s="250">
        <f>(E43*1000)/F43</f>
        <v>2950.874521030454</v>
      </c>
      <c r="H43" s="860">
        <f>SUM(B43-E43)*100/E43</f>
        <v>-27.12502510127434</v>
      </c>
      <c r="I43" s="860">
        <f>SUM(C43-F43)*100/F43</f>
        <v>-12.684703316583493</v>
      </c>
      <c r="J43" s="861">
        <f>SUM(D43-G43)*100/G43</f>
        <v>-16.538135164389182</v>
      </c>
    </row>
    <row r="44" spans="1:10" ht="12.75">
      <c r="A44" s="24" t="s">
        <v>150</v>
      </c>
      <c r="B44" s="25">
        <f>B45-B43</f>
        <v>107402.17799999984</v>
      </c>
      <c r="C44" s="25">
        <f>C45-C43</f>
        <v>44636.09600000002</v>
      </c>
      <c r="D44" s="23">
        <f>(B44*1000)/C44</f>
        <v>2406.173201168843</v>
      </c>
      <c r="E44" s="25">
        <f>E45-E43</f>
        <v>141368.44399999967</v>
      </c>
      <c r="F44" s="25">
        <f>F45-F43</f>
        <v>48418.04699999979</v>
      </c>
      <c r="G44" s="23">
        <f>(E44*1000)/F44</f>
        <v>2919.746928247649</v>
      </c>
      <c r="H44" s="853">
        <f>SUM(B44-E44)*100/E44</f>
        <v>-24.0267665392143</v>
      </c>
      <c r="I44" s="853">
        <f>SUM(C44-F44)*100/F44</f>
        <v>-7.811035831329142</v>
      </c>
      <c r="J44" s="854">
        <f>SUM(D44-G44)*100/G44</f>
        <v>-17.58966580665395</v>
      </c>
    </row>
    <row r="45" spans="1:10" ht="12.75">
      <c r="A45" s="251" t="s">
        <v>151</v>
      </c>
      <c r="B45" s="252">
        <f>B7</f>
        <v>2381174.675</v>
      </c>
      <c r="C45" s="229">
        <f>C7</f>
        <v>967862.427</v>
      </c>
      <c r="D45" s="253">
        <f>(B45*1000)/C45</f>
        <v>2460.240844745593</v>
      </c>
      <c r="E45" s="229">
        <f>E7</f>
        <v>3261469</v>
      </c>
      <c r="F45" s="229">
        <f>F7</f>
        <v>1105765.804</v>
      </c>
      <c r="G45" s="253">
        <f>(E45*1000)/F45</f>
        <v>2949.511540510616</v>
      </c>
      <c r="H45" s="857">
        <f>SUM(B45-E45)*100/E45</f>
        <v>-26.990731017219545</v>
      </c>
      <c r="I45" s="857">
        <f>SUM(C45-F45)*100/F45</f>
        <v>-12.471300568452014</v>
      </c>
      <c r="J45" s="862">
        <f>SUM(D45-G45)*100/G45</f>
        <v>-16.5881939787332</v>
      </c>
    </row>
    <row r="46" spans="1:10" ht="12.75">
      <c r="A46" s="238" t="s">
        <v>116</v>
      </c>
      <c r="B46" s="6"/>
      <c r="C46" s="6"/>
      <c r="D46" s="6"/>
      <c r="E46" s="6"/>
      <c r="F46" s="6"/>
      <c r="G46" s="21"/>
      <c r="H46" s="6"/>
      <c r="I46" s="6"/>
      <c r="J46" s="6"/>
    </row>
    <row r="47" spans="1:10" ht="12.75">
      <c r="A47" s="1452" t="s">
        <v>152</v>
      </c>
      <c r="B47" s="1452"/>
      <c r="C47" s="1452"/>
      <c r="D47" s="1452"/>
      <c r="E47" s="1452"/>
      <c r="F47" s="1452"/>
      <c r="G47" s="1452"/>
      <c r="H47" s="1452"/>
      <c r="I47" s="1452"/>
      <c r="J47" s="1452"/>
    </row>
    <row r="48" spans="1:10" ht="12.75">
      <c r="A48" s="1452" t="s">
        <v>321</v>
      </c>
      <c r="B48" s="1452"/>
      <c r="C48" s="1452"/>
      <c r="D48" s="1452"/>
      <c r="E48" s="1452"/>
      <c r="F48" s="1452"/>
      <c r="G48" s="1452"/>
      <c r="H48" s="1452"/>
      <c r="I48" s="1452"/>
      <c r="J48" s="1452"/>
    </row>
    <row r="49" spans="1:10" ht="12.75">
      <c r="A49" s="239"/>
      <c r="B49" s="239"/>
      <c r="C49" s="239"/>
      <c r="D49" s="239"/>
      <c r="E49" s="239"/>
      <c r="F49" s="239"/>
      <c r="G49" s="240"/>
      <c r="H49" s="239"/>
      <c r="I49" s="239"/>
      <c r="J49" s="239"/>
    </row>
    <row r="50" spans="1:10" ht="12.75">
      <c r="A50" s="1465" t="s">
        <v>153</v>
      </c>
      <c r="B50" s="1466"/>
      <c r="C50" s="1466"/>
      <c r="D50" s="239"/>
      <c r="E50" s="239"/>
      <c r="F50" s="239"/>
      <c r="G50" s="240"/>
      <c r="H50" s="239"/>
      <c r="I50" s="239"/>
      <c r="J50" s="239"/>
    </row>
    <row r="51" spans="1:10" ht="12.75">
      <c r="A51" s="6"/>
      <c r="B51" s="6"/>
      <c r="C51" s="6"/>
      <c r="D51" s="6"/>
      <c r="E51" s="6"/>
      <c r="F51" s="6"/>
      <c r="G51" s="21"/>
      <c r="H51" s="6"/>
      <c r="I51" s="6"/>
      <c r="J51" s="6"/>
    </row>
    <row r="52" spans="1:10" ht="12.75">
      <c r="A52" s="1454" t="s">
        <v>147</v>
      </c>
      <c r="B52" s="1458" t="str">
        <f>B4</f>
        <v>Jan a Jun/2016</v>
      </c>
      <c r="C52" s="1459"/>
      <c r="D52" s="1459"/>
      <c r="E52" s="1458" t="str">
        <f>E4</f>
        <v>Jan a Jun/2015</v>
      </c>
      <c r="F52" s="1459"/>
      <c r="G52" s="1459"/>
      <c r="H52" s="1460" t="s">
        <v>105</v>
      </c>
      <c r="I52" s="1460"/>
      <c r="J52" s="1461"/>
    </row>
    <row r="53" spans="1:10" ht="12.75">
      <c r="A53" s="1455"/>
      <c r="B53" s="241" t="s">
        <v>106</v>
      </c>
      <c r="C53" s="232" t="s">
        <v>148</v>
      </c>
      <c r="D53" s="234" t="s">
        <v>108</v>
      </c>
      <c r="E53" s="232" t="s">
        <v>106</v>
      </c>
      <c r="F53" s="232" t="s">
        <v>148</v>
      </c>
      <c r="G53" s="230" t="s">
        <v>108</v>
      </c>
      <c r="H53" s="1460" t="str">
        <f>H5</f>
        <v>(16/15)</v>
      </c>
      <c r="I53" s="1460"/>
      <c r="J53" s="1461"/>
    </row>
    <row r="54" spans="1:10" ht="12.75">
      <c r="A54" s="242"/>
      <c r="B54" s="241" t="s">
        <v>149</v>
      </c>
      <c r="C54" s="232" t="s">
        <v>140</v>
      </c>
      <c r="D54" s="234" t="s">
        <v>141</v>
      </c>
      <c r="E54" s="232" t="s">
        <v>149</v>
      </c>
      <c r="F54" s="232" t="s">
        <v>140</v>
      </c>
      <c r="G54" s="230" t="s">
        <v>141</v>
      </c>
      <c r="H54" s="232" t="s">
        <v>106</v>
      </c>
      <c r="I54" s="232" t="s">
        <v>107</v>
      </c>
      <c r="J54" s="235" t="s">
        <v>108</v>
      </c>
    </row>
    <row r="55" spans="1:10" ht="12.75">
      <c r="A55" s="524" t="s">
        <v>322</v>
      </c>
      <c r="B55" s="490">
        <v>55174.423</v>
      </c>
      <c r="C55" s="490">
        <v>7957.582</v>
      </c>
      <c r="D55" s="733">
        <f>(B55*1000)/C55</f>
        <v>6933.566377324167</v>
      </c>
      <c r="E55" s="490">
        <v>56385.237</v>
      </c>
      <c r="F55" s="490">
        <v>7587.234</v>
      </c>
      <c r="G55" s="733">
        <f>(E55*1000)/F55</f>
        <v>7431.593252560814</v>
      </c>
      <c r="H55" s="855">
        <f>SUM(B55-E55)*100/E55</f>
        <v>-2.1473954255082734</v>
      </c>
      <c r="I55" s="855">
        <f>SUM(C55-F55)*100/F55</f>
        <v>4.881199130012333</v>
      </c>
      <c r="J55" s="856">
        <f>SUM(D55-G55)*100/G55</f>
        <v>-6.701481880282332</v>
      </c>
    </row>
    <row r="56" spans="1:10" ht="12.75">
      <c r="A56" s="524" t="s">
        <v>280</v>
      </c>
      <c r="B56" s="1257">
        <v>45376.254</v>
      </c>
      <c r="C56" s="1257">
        <v>8036.629</v>
      </c>
      <c r="D56" s="733">
        <f>(B56*1000)/C56</f>
        <v>5646.1800090560355</v>
      </c>
      <c r="E56" s="1257">
        <v>54891.617</v>
      </c>
      <c r="F56" s="1257">
        <v>8339.872</v>
      </c>
      <c r="G56" s="733">
        <f>(E56*1000)/F56</f>
        <v>6581.829673165248</v>
      </c>
      <c r="H56" s="855">
        <f>SUM(B56-E56)*100/E56</f>
        <v>-17.334819996284676</v>
      </c>
      <c r="I56" s="855">
        <f>SUM(C56-F56)*100/F56</f>
        <v>-3.6360629995280442</v>
      </c>
      <c r="J56" s="856">
        <f>SUM(D56-G56)*100/G56</f>
        <v>-14.215646872843674</v>
      </c>
    </row>
    <row r="57" spans="1:10" ht="12.75">
      <c r="A57" s="18" t="s">
        <v>324</v>
      </c>
      <c r="B57" s="1257">
        <v>41232.36</v>
      </c>
      <c r="C57" s="1257">
        <v>6101.872</v>
      </c>
      <c r="D57" s="733">
        <f>(B57*1000)/C57</f>
        <v>6757.329553946723</v>
      </c>
      <c r="E57" s="1257">
        <v>36486.799</v>
      </c>
      <c r="F57" s="1257">
        <v>5001.1</v>
      </c>
      <c r="G57" s="733">
        <f>(E57*1000)/F57</f>
        <v>7295.754733958529</v>
      </c>
      <c r="H57" s="855">
        <f>SUM(B57-E57)*100/E57</f>
        <v>13.006240969507909</v>
      </c>
      <c r="I57" s="855">
        <f>SUM(C57-F57)*100/F57</f>
        <v>22.010597668512926</v>
      </c>
      <c r="J57" s="854">
        <f aca="true" t="shared" si="8" ref="J57:J62">SUM(D57-G57)*100/G57</f>
        <v>-7.3799791748161985</v>
      </c>
    </row>
    <row r="58" spans="1:10" ht="12.75">
      <c r="A58" s="18" t="s">
        <v>281</v>
      </c>
      <c r="B58" s="1257">
        <v>23357.681</v>
      </c>
      <c r="C58" s="1257">
        <v>3319.907</v>
      </c>
      <c r="D58" s="23">
        <f>(B58*1000)/C58</f>
        <v>7035.643167112813</v>
      </c>
      <c r="E58" s="1257">
        <v>21811.111</v>
      </c>
      <c r="F58" s="1257">
        <v>2953.97</v>
      </c>
      <c r="G58" s="23">
        <f>(E58*1000)/F58</f>
        <v>7383.660294451197</v>
      </c>
      <c r="H58" s="853">
        <f>SUM(B58-E58)*100/E58</f>
        <v>7.0907437956736805</v>
      </c>
      <c r="I58" s="853">
        <f>SUM(C58-F58)*100/F58</f>
        <v>12.387972795932265</v>
      </c>
      <c r="J58" s="854">
        <f t="shared" si="8"/>
        <v>-4.713341533330264</v>
      </c>
    </row>
    <row r="59" spans="1:10" ht="12.75">
      <c r="A59" s="18" t="s">
        <v>285</v>
      </c>
      <c r="B59" s="1257">
        <v>12825.493</v>
      </c>
      <c r="C59" s="1257">
        <v>2301.24</v>
      </c>
      <c r="D59" s="23">
        <f>(B59*1000)/C59</f>
        <v>5573.296570544577</v>
      </c>
      <c r="E59" s="1257">
        <v>18179.771</v>
      </c>
      <c r="F59" s="1257">
        <v>2804.16</v>
      </c>
      <c r="G59" s="23">
        <f>(E59*1000)/F59</f>
        <v>6483.143258587243</v>
      </c>
      <c r="H59" s="853">
        <f aca="true" t="shared" si="9" ref="H59:I61">SUM(B59-E59)*100/E59</f>
        <v>-29.45184513050247</v>
      </c>
      <c r="I59" s="853">
        <f t="shared" si="9"/>
        <v>-17.934782608695656</v>
      </c>
      <c r="J59" s="854">
        <f t="shared" si="8"/>
        <v>-14.034036450413602</v>
      </c>
    </row>
    <row r="60" spans="1:10" ht="12.75">
      <c r="A60" s="18" t="s">
        <v>287</v>
      </c>
      <c r="B60" s="1257">
        <v>9086.007</v>
      </c>
      <c r="C60" s="1257">
        <v>1692.716</v>
      </c>
      <c r="D60" s="23">
        <f>(B60*1000)/C60</f>
        <v>5367.709054560836</v>
      </c>
      <c r="E60" s="1257">
        <v>9354.197</v>
      </c>
      <c r="F60" s="1257">
        <v>1279.208</v>
      </c>
      <c r="G60" s="23">
        <f>(E60*1000)/F60</f>
        <v>7312.491010062476</v>
      </c>
      <c r="H60" s="853">
        <f t="shared" si="9"/>
        <v>-2.8670552907962117</v>
      </c>
      <c r="I60" s="853">
        <f t="shared" si="9"/>
        <v>32.32531378790625</v>
      </c>
      <c r="J60" s="854">
        <f t="shared" si="8"/>
        <v>-26.59534148931588</v>
      </c>
    </row>
    <row r="61" spans="1:10" ht="12.75">
      <c r="A61" s="18" t="s">
        <v>282</v>
      </c>
      <c r="B61" s="1257">
        <v>7845.369</v>
      </c>
      <c r="C61" s="1257">
        <v>1159.182</v>
      </c>
      <c r="D61" s="23">
        <f>(B61*1000)/C61</f>
        <v>6768.02176017226</v>
      </c>
      <c r="E61" s="1257">
        <v>10372.532</v>
      </c>
      <c r="F61" s="1257">
        <v>1231.303</v>
      </c>
      <c r="G61" s="23">
        <f>(E61*1000)/F61</f>
        <v>8424.028853986387</v>
      </c>
      <c r="H61" s="853">
        <f t="shared" si="9"/>
        <v>-24.363993285342477</v>
      </c>
      <c r="I61" s="853">
        <f t="shared" si="9"/>
        <v>-5.857291016102462</v>
      </c>
      <c r="J61" s="854">
        <f t="shared" si="8"/>
        <v>-19.65813653440275</v>
      </c>
    </row>
    <row r="62" spans="1:10" ht="12.75">
      <c r="A62" s="18" t="s">
        <v>284</v>
      </c>
      <c r="B62" s="1257">
        <v>6959.171</v>
      </c>
      <c r="C62" s="1257">
        <v>949.263</v>
      </c>
      <c r="D62" s="23">
        <f>(B57*1000)/C57</f>
        <v>6757.329553946723</v>
      </c>
      <c r="E62" s="1257">
        <v>8275.935</v>
      </c>
      <c r="F62" s="1257">
        <v>941.263</v>
      </c>
      <c r="G62" s="23">
        <f>(E57*1000)/F57</f>
        <v>7295.754733958529</v>
      </c>
      <c r="H62" s="853">
        <f>SUM(B57-E57)*100/E57</f>
        <v>13.006240969507909</v>
      </c>
      <c r="I62" s="853">
        <f>SUM(C57-F57)*100/F57</f>
        <v>22.010597668512926</v>
      </c>
      <c r="J62" s="854">
        <f t="shared" si="8"/>
        <v>-7.3799791748161985</v>
      </c>
    </row>
    <row r="63" spans="1:10" ht="12.75">
      <c r="A63" s="524" t="s">
        <v>505</v>
      </c>
      <c r="B63" s="1257">
        <v>6338.192</v>
      </c>
      <c r="C63" s="1257">
        <v>1067.316</v>
      </c>
      <c r="D63" s="23">
        <f>(B63*1000)/C63</f>
        <v>5938.439974665423</v>
      </c>
      <c r="E63" s="1257">
        <v>5539.354</v>
      </c>
      <c r="F63" s="1257">
        <v>800.412</v>
      </c>
      <c r="G63" s="23">
        <f>(E63*1000)/F63</f>
        <v>6920.628376386161</v>
      </c>
      <c r="H63" s="853">
        <f>SUM(B63-E63)*100/E63</f>
        <v>14.421140082399495</v>
      </c>
      <c r="I63" s="853">
        <f>SUM(C63-F63)*100/F63</f>
        <v>33.34582689914694</v>
      </c>
      <c r="J63" s="854">
        <f>SUM(D63-G63)*100/G63</f>
        <v>-14.192185280054312</v>
      </c>
    </row>
    <row r="64" spans="1:10" ht="12.75">
      <c r="A64" s="18" t="s">
        <v>286</v>
      </c>
      <c r="B64" s="1257">
        <v>6148.992</v>
      </c>
      <c r="C64" s="1257">
        <v>1060.673</v>
      </c>
      <c r="D64" s="23">
        <f>(B64*1000)/C64</f>
        <v>5797.25513895423</v>
      </c>
      <c r="E64" s="1257">
        <v>10464.807</v>
      </c>
      <c r="F64" s="1257">
        <v>1594.543</v>
      </c>
      <c r="G64" s="23">
        <f>(E64*1000)/F64</f>
        <v>6562.887924627935</v>
      </c>
      <c r="H64" s="853">
        <f>SUM(B64-E64)*100/E64</f>
        <v>-41.24122881578227</v>
      </c>
      <c r="I64" s="853">
        <f>SUM(C64-F64)*100/F64</f>
        <v>-33.48106636196076</v>
      </c>
      <c r="J64" s="854">
        <f>SUM(D64-G64)*100/G64</f>
        <v>-11.666095695472519</v>
      </c>
    </row>
    <row r="65" spans="1:10" ht="12.75">
      <c r="A65" s="18" t="s">
        <v>292</v>
      </c>
      <c r="B65" s="1257">
        <v>5632.592</v>
      </c>
      <c r="C65" s="1257">
        <v>669.43</v>
      </c>
      <c r="D65" s="23">
        <f>(B65*1000)/C65</f>
        <v>8414.011920589159</v>
      </c>
      <c r="E65" s="1257">
        <v>6971.795</v>
      </c>
      <c r="F65" s="1257">
        <v>864.226</v>
      </c>
      <c r="G65" s="23">
        <f>(E65*1000)/F65</f>
        <v>8067.097032489187</v>
      </c>
      <c r="H65" s="853">
        <f>SUM(B65-E65)*100/E65</f>
        <v>-19.20886945184132</v>
      </c>
      <c r="I65" s="853">
        <f>SUM(C65-F65)*100/F65</f>
        <v>-22.53993747005992</v>
      </c>
      <c r="J65" s="854">
        <f>SUM(D65-G65)*100/G65</f>
        <v>4.300368356830433</v>
      </c>
    </row>
    <row r="66" spans="1:10" ht="12.75">
      <c r="A66" s="524" t="s">
        <v>283</v>
      </c>
      <c r="B66" s="1257">
        <v>4025.772</v>
      </c>
      <c r="C66" s="1257">
        <v>769.43</v>
      </c>
      <c r="D66" s="23">
        <f>(B66*1000)/C66</f>
        <v>5232.148473545352</v>
      </c>
      <c r="E66" s="1257">
        <v>4692.026</v>
      </c>
      <c r="F66" s="1257">
        <v>744.694</v>
      </c>
      <c r="G66" s="23">
        <f>(E66*1000)/F66</f>
        <v>6300.609377811558</v>
      </c>
      <c r="H66" s="853">
        <f aca="true" t="shared" si="10" ref="H66:J69">SUM(B66-E66)*100/E66</f>
        <v>-14.199708185760265</v>
      </c>
      <c r="I66" s="853">
        <f t="shared" si="10"/>
        <v>3.321632778026947</v>
      </c>
      <c r="J66" s="854">
        <f t="shared" si="10"/>
        <v>-16.958056597333815</v>
      </c>
    </row>
    <row r="67" spans="1:10" ht="12.75">
      <c r="A67" s="524" t="s">
        <v>507</v>
      </c>
      <c r="B67" s="1257">
        <v>3913.76</v>
      </c>
      <c r="C67" s="1257">
        <v>625.216</v>
      </c>
      <c r="D67" s="23">
        <f>(B67*1000)/C67</f>
        <v>6259.852594943188</v>
      </c>
      <c r="E67" s="1257">
        <v>4379.177</v>
      </c>
      <c r="F67" s="1257">
        <v>603.782</v>
      </c>
      <c r="G67" s="23">
        <f>(E67*1000)/F67</f>
        <v>7252.910818805462</v>
      </c>
      <c r="H67" s="853">
        <f t="shared" si="10"/>
        <v>-10.627955892168767</v>
      </c>
      <c r="I67" s="853">
        <f t="shared" si="10"/>
        <v>3.5499567724774783</v>
      </c>
      <c r="J67" s="854">
        <f t="shared" si="10"/>
        <v>-13.691857637177304</v>
      </c>
    </row>
    <row r="68" spans="1:10" ht="12.75">
      <c r="A68" s="524" t="s">
        <v>473</v>
      </c>
      <c r="B68" s="1257">
        <v>3741.104</v>
      </c>
      <c r="C68" s="1257">
        <v>508.768</v>
      </c>
      <c r="D68" s="23">
        <f>(B68*1000)/C68</f>
        <v>7353.2612113969435</v>
      </c>
      <c r="E68" s="1257">
        <v>5728.429</v>
      </c>
      <c r="F68" s="1257">
        <v>564.34</v>
      </c>
      <c r="G68" s="23">
        <f>(E68*1000)/F68</f>
        <v>10150.669808980401</v>
      </c>
      <c r="H68" s="853">
        <f>SUM(B68-E68)*100/E68</f>
        <v>-34.692321402604456</v>
      </c>
      <c r="I68" s="853">
        <f>SUM(C68-F68)*100/F68</f>
        <v>-9.847255200765506</v>
      </c>
      <c r="J68" s="854">
        <f>SUM(D68-G68)*100/G68</f>
        <v>-27.558857200818036</v>
      </c>
    </row>
    <row r="69" spans="1:10" ht="12.75">
      <c r="A69" s="524" t="s">
        <v>508</v>
      </c>
      <c r="B69" s="1257">
        <v>3719.843</v>
      </c>
      <c r="C69" s="1257">
        <v>713.482</v>
      </c>
      <c r="D69" s="23">
        <f>(B69*1000)/C69</f>
        <v>5213.646595148862</v>
      </c>
      <c r="E69" s="1257">
        <v>6692.437</v>
      </c>
      <c r="F69" s="1257">
        <v>1065.69</v>
      </c>
      <c r="G69" s="23">
        <f>(E69*1000)/F69</f>
        <v>6279.90972984639</v>
      </c>
      <c r="H69" s="853">
        <f t="shared" si="10"/>
        <v>-44.41721304212502</v>
      </c>
      <c r="I69" s="853">
        <f t="shared" si="10"/>
        <v>-33.04976118758739</v>
      </c>
      <c r="J69" s="854">
        <f t="shared" si="10"/>
        <v>-16.978956395343122</v>
      </c>
    </row>
    <row r="70" spans="1:10" ht="12.75">
      <c r="A70" s="254" t="s">
        <v>127</v>
      </c>
      <c r="B70" s="249">
        <f>SUM(B55:B69)</f>
        <v>235377.01300000004</v>
      </c>
      <c r="C70" s="249">
        <f>SUM(C55:C69)</f>
        <v>36932.70599999999</v>
      </c>
      <c r="D70" s="250">
        <f>(B70*1000)/C70</f>
        <v>6373.132068903917</v>
      </c>
      <c r="E70" s="249">
        <f>SUM(E55:E69)</f>
        <v>260225.22400000005</v>
      </c>
      <c r="F70" s="249">
        <f>SUM(F55:F69)</f>
        <v>36375.797</v>
      </c>
      <c r="G70" s="250">
        <f>(E70*1000)/F70</f>
        <v>7153.801303652538</v>
      </c>
      <c r="H70" s="860">
        <f>SUM(B70-E70)*100/E70</f>
        <v>-9.548732677812973</v>
      </c>
      <c r="I70" s="860">
        <f>SUM(C70-F70)*100/F70</f>
        <v>1.530987760900448</v>
      </c>
      <c r="J70" s="861">
        <f>SUM(D70-G70)*100/G70</f>
        <v>-10.912649116352068</v>
      </c>
    </row>
    <row r="71" spans="1:10" ht="12.75">
      <c r="A71" s="24" t="s">
        <v>150</v>
      </c>
      <c r="B71" s="25">
        <f>B72-B70</f>
        <v>68370.40599999996</v>
      </c>
      <c r="C71" s="25">
        <f>C72-C70</f>
        <v>9760.528000000006</v>
      </c>
      <c r="D71" s="23">
        <f>(B71*1000)/C71</f>
        <v>7004.785601762519</v>
      </c>
      <c r="E71" s="25">
        <f>E72-E70</f>
        <v>70404.77599999995</v>
      </c>
      <c r="F71" s="25">
        <f>F72-F70</f>
        <v>8633.827000000005</v>
      </c>
      <c r="G71" s="23">
        <f>(E71*1000)/F71</f>
        <v>8154.527071251244</v>
      </c>
      <c r="H71" s="853">
        <f>SUM(B71-E71)*100/E71</f>
        <v>-2.889534085017182</v>
      </c>
      <c r="I71" s="853">
        <f>SUM(C71-F71)*100/F71</f>
        <v>13.049844524334345</v>
      </c>
      <c r="J71" s="854">
        <f>SUM(D71-G71)*100/G71</f>
        <v>-14.099425502456596</v>
      </c>
    </row>
    <row r="72" spans="1:10" ht="12.75">
      <c r="A72" s="251" t="s">
        <v>151</v>
      </c>
      <c r="B72" s="252">
        <f>B8</f>
        <v>303747.419</v>
      </c>
      <c r="C72" s="229">
        <f>C8</f>
        <v>46693.234</v>
      </c>
      <c r="D72" s="253">
        <f>(B72*1000)/C72</f>
        <v>6505.16987107811</v>
      </c>
      <c r="E72" s="229">
        <f>E8</f>
        <v>330630</v>
      </c>
      <c r="F72" s="229">
        <f>F8</f>
        <v>45009.624</v>
      </c>
      <c r="G72" s="253">
        <f>(E72*1000)/F72</f>
        <v>7345.762319631907</v>
      </c>
      <c r="H72" s="857">
        <f>SUM(B72-E72)*100/E72</f>
        <v>-8.130714393733177</v>
      </c>
      <c r="I72" s="857">
        <f>SUM(C72-F72)*100/F72</f>
        <v>3.7405555754031474</v>
      </c>
      <c r="J72" s="862">
        <f>SUM(D72-G72)*100/G72</f>
        <v>-11.443229606099191</v>
      </c>
    </row>
    <row r="73" spans="1:10" ht="12.75">
      <c r="A73" s="238" t="s">
        <v>116</v>
      </c>
      <c r="B73" s="4"/>
      <c r="C73" s="4"/>
      <c r="D73" s="4"/>
      <c r="E73" s="4"/>
      <c r="F73" s="4"/>
      <c r="G73" s="4"/>
      <c r="H73" s="4"/>
      <c r="I73" s="4"/>
      <c r="J73" s="4"/>
    </row>
    <row r="74" spans="1:10" ht="12.75">
      <c r="A74" s="1451" t="s">
        <v>138</v>
      </c>
      <c r="B74" s="1451"/>
      <c r="C74" s="1451"/>
      <c r="D74" s="1451"/>
      <c r="E74" s="1451"/>
      <c r="F74" s="1451"/>
      <c r="G74" s="1451"/>
      <c r="H74" s="1451"/>
      <c r="I74" s="1451"/>
      <c r="J74" s="1451"/>
    </row>
    <row r="75" spans="1:10" ht="12.75">
      <c r="A75" s="1452" t="s">
        <v>321</v>
      </c>
      <c r="B75" s="1452"/>
      <c r="C75" s="1452"/>
      <c r="D75" s="1452"/>
      <c r="E75" s="1452"/>
      <c r="F75" s="1452"/>
      <c r="G75" s="1452"/>
      <c r="H75" s="1452"/>
      <c r="I75" s="1452"/>
      <c r="J75" s="1452"/>
    </row>
    <row r="76" spans="1:10" ht="12.75">
      <c r="A76" s="255"/>
      <c r="B76" s="255"/>
      <c r="C76" s="255"/>
      <c r="D76" s="255"/>
      <c r="E76" s="255"/>
      <c r="F76" s="255"/>
      <c r="G76" s="255"/>
      <c r="H76" s="255"/>
      <c r="I76" s="255"/>
      <c r="J76" s="255"/>
    </row>
    <row r="77" spans="1:10" ht="12.75">
      <c r="A77" s="1453" t="s">
        <v>154</v>
      </c>
      <c r="B77" s="1462"/>
      <c r="C77" s="1462"/>
      <c r="D77" s="26"/>
      <c r="E77" s="26"/>
      <c r="F77" s="26"/>
      <c r="G77" s="26"/>
      <c r="H77" s="26"/>
      <c r="I77" s="26"/>
      <c r="J77" s="26"/>
    </row>
    <row r="78" spans="1:10" ht="12.75">
      <c r="A78" s="6"/>
      <c r="B78" s="6"/>
      <c r="C78" s="6"/>
      <c r="D78" s="6"/>
      <c r="E78" s="6"/>
      <c r="F78" s="6"/>
      <c r="G78" s="21"/>
      <c r="H78" s="6"/>
      <c r="I78" s="6"/>
      <c r="J78" s="6"/>
    </row>
    <row r="79" spans="1:10" ht="12.75">
      <c r="A79" s="1454" t="s">
        <v>147</v>
      </c>
      <c r="B79" s="1456" t="str">
        <f>B4</f>
        <v>Jan a Jun/2016</v>
      </c>
      <c r="C79" s="1463"/>
      <c r="D79" s="1464"/>
      <c r="E79" s="1456" t="str">
        <f>E4</f>
        <v>Jan a Jun/2015</v>
      </c>
      <c r="F79" s="1463"/>
      <c r="G79" s="1464"/>
      <c r="H79" s="1460" t="s">
        <v>105</v>
      </c>
      <c r="I79" s="1460"/>
      <c r="J79" s="1461"/>
    </row>
    <row r="80" spans="1:10" ht="12.75">
      <c r="A80" s="1455"/>
      <c r="B80" s="241" t="s">
        <v>106</v>
      </c>
      <c r="C80" s="232" t="s">
        <v>148</v>
      </c>
      <c r="D80" s="234" t="s">
        <v>108</v>
      </c>
      <c r="E80" s="232" t="s">
        <v>106</v>
      </c>
      <c r="F80" s="232" t="s">
        <v>148</v>
      </c>
      <c r="G80" s="230" t="s">
        <v>108</v>
      </c>
      <c r="H80" s="1460" t="str">
        <f>H5</f>
        <v>(16/15)</v>
      </c>
      <c r="I80" s="1460"/>
      <c r="J80" s="1461"/>
    </row>
    <row r="81" spans="1:10" ht="12.75">
      <c r="A81" s="242"/>
      <c r="B81" s="241" t="s">
        <v>149</v>
      </c>
      <c r="C81" s="232" t="s">
        <v>140</v>
      </c>
      <c r="D81" s="234" t="s">
        <v>141</v>
      </c>
      <c r="E81" s="232" t="s">
        <v>149</v>
      </c>
      <c r="F81" s="232" t="s">
        <v>140</v>
      </c>
      <c r="G81" s="230" t="s">
        <v>141</v>
      </c>
      <c r="H81" s="232" t="s">
        <v>106</v>
      </c>
      <c r="I81" s="232" t="s">
        <v>107</v>
      </c>
      <c r="J81" s="235" t="s">
        <v>108</v>
      </c>
    </row>
    <row r="82" spans="1:10" ht="12.75">
      <c r="A82" s="18" t="s">
        <v>280</v>
      </c>
      <c r="B82" s="1258">
        <v>2769.352</v>
      </c>
      <c r="C82" s="1258">
        <v>390.622</v>
      </c>
      <c r="D82" s="23">
        <f>(B82*1000)/C82</f>
        <v>7089.595568093962</v>
      </c>
      <c r="E82" s="1258">
        <v>2500.889</v>
      </c>
      <c r="F82" s="1258">
        <v>307.143</v>
      </c>
      <c r="G82" s="23">
        <f>(E82*1000)/F82</f>
        <v>8142.425515150924</v>
      </c>
      <c r="H82" s="853">
        <f aca="true" t="shared" si="11" ref="H82:J83">SUM(B82-E82)*100/E82</f>
        <v>10.73470273970575</v>
      </c>
      <c r="I82" s="853">
        <f t="shared" si="11"/>
        <v>27.17919666083878</v>
      </c>
      <c r="J82" s="854">
        <f t="shared" si="11"/>
        <v>-12.930175966582938</v>
      </c>
    </row>
    <row r="83" spans="1:10" ht="12.75">
      <c r="A83" s="524" t="s">
        <v>322</v>
      </c>
      <c r="B83" s="25">
        <v>906.043</v>
      </c>
      <c r="C83" s="25">
        <v>247.479</v>
      </c>
      <c r="D83" s="733">
        <f>(B83*1000)/C83</f>
        <v>3661.090435956182</v>
      </c>
      <c r="E83" s="25">
        <v>1418.056</v>
      </c>
      <c r="F83" s="25">
        <v>307.069</v>
      </c>
      <c r="G83" s="733">
        <f>(E83*1000)/F83</f>
        <v>4618.03698842931</v>
      </c>
      <c r="H83" s="855">
        <f t="shared" si="11"/>
        <v>-36.106684080177374</v>
      </c>
      <c r="I83" s="855">
        <f t="shared" si="11"/>
        <v>-19.406061829751618</v>
      </c>
      <c r="J83" s="856">
        <f t="shared" si="11"/>
        <v>-20.721933472399616</v>
      </c>
    </row>
    <row r="84" spans="1:10" ht="12.75">
      <c r="A84" s="18" t="s">
        <v>281</v>
      </c>
      <c r="B84" s="1258">
        <v>471.094</v>
      </c>
      <c r="C84" s="1258">
        <v>97.502</v>
      </c>
      <c r="D84" s="23">
        <f>(B84*1000)/C84</f>
        <v>4831.634222887736</v>
      </c>
      <c r="E84" s="1258">
        <v>449.729</v>
      </c>
      <c r="F84" s="1258">
        <v>82.987</v>
      </c>
      <c r="G84" s="23">
        <f>(E84*1000)/F84</f>
        <v>5419.270488148746</v>
      </c>
      <c r="H84" s="853">
        <f aca="true" t="shared" si="12" ref="H84:J85">SUM(B84-E84)*100/E84</f>
        <v>4.750638717983499</v>
      </c>
      <c r="I84" s="853">
        <f t="shared" si="12"/>
        <v>17.490691313097233</v>
      </c>
      <c r="J84" s="854">
        <f t="shared" si="12"/>
        <v>-10.843457003043051</v>
      </c>
    </row>
    <row r="85" spans="1:10" ht="12.75">
      <c r="A85" s="524" t="s">
        <v>289</v>
      </c>
      <c r="B85" s="1258">
        <v>361.721</v>
      </c>
      <c r="C85" s="1258">
        <v>53.611</v>
      </c>
      <c r="D85" s="23">
        <f>(B85*1000)/C85</f>
        <v>6747.141444852736</v>
      </c>
      <c r="E85" s="1258">
        <v>307.34</v>
      </c>
      <c r="F85" s="1258">
        <v>53.777</v>
      </c>
      <c r="G85" s="23">
        <f>(E85*1000)/F85</f>
        <v>5715.082656154118</v>
      </c>
      <c r="H85" s="853">
        <f t="shared" si="12"/>
        <v>17.69408472701244</v>
      </c>
      <c r="I85" s="853">
        <f t="shared" si="12"/>
        <v>-0.30868215036168606</v>
      </c>
      <c r="J85" s="854">
        <f t="shared" si="12"/>
        <v>18.05851027521493</v>
      </c>
    </row>
    <row r="86" spans="1:10" ht="12.75">
      <c r="A86" s="18" t="s">
        <v>286</v>
      </c>
      <c r="B86" s="1258">
        <v>339.323</v>
      </c>
      <c r="C86" s="1258">
        <v>80.444</v>
      </c>
      <c r="D86" s="733">
        <f>(B86*1000)/C86</f>
        <v>4218.126895728706</v>
      </c>
      <c r="E86" s="1258">
        <v>447.747</v>
      </c>
      <c r="F86" s="1258">
        <v>90.522</v>
      </c>
      <c r="G86" s="23">
        <f>(E86*1000)/F86</f>
        <v>4946.278252800424</v>
      </c>
      <c r="H86" s="853">
        <f>SUM(B86-E86)*100/E86</f>
        <v>-24.21546096344588</v>
      </c>
      <c r="I86" s="853">
        <f>SUM(C86-F86)*100/F86</f>
        <v>-11.133205187689184</v>
      </c>
      <c r="J86" s="854">
        <f>SUM(D86-G86)*100/G86</f>
        <v>-14.721196824288283</v>
      </c>
    </row>
    <row r="87" spans="1:10" ht="12.75">
      <c r="A87" s="524" t="s">
        <v>475</v>
      </c>
      <c r="B87" s="1258">
        <v>271.092</v>
      </c>
      <c r="C87" s="1258">
        <v>31.217</v>
      </c>
      <c r="D87" s="23">
        <f>(B87*1000)/C87</f>
        <v>8684.114424832624</v>
      </c>
      <c r="E87" s="1258">
        <v>105.258</v>
      </c>
      <c r="F87" s="1258">
        <v>11.078</v>
      </c>
      <c r="G87" s="23">
        <v>0</v>
      </c>
      <c r="H87" s="853">
        <v>0</v>
      </c>
      <c r="I87" s="853">
        <v>0</v>
      </c>
      <c r="J87" s="854">
        <v>0</v>
      </c>
    </row>
    <row r="88" spans="1:10" ht="12.75">
      <c r="A88" s="524" t="s">
        <v>288</v>
      </c>
      <c r="B88" s="1258">
        <v>248.562</v>
      </c>
      <c r="C88" s="1258">
        <v>42.842</v>
      </c>
      <c r="D88" s="23">
        <f aca="true" t="shared" si="13" ref="D88:D99">(B88*1000)/C88</f>
        <v>5801.82997992624</v>
      </c>
      <c r="E88" s="1258">
        <v>353.124</v>
      </c>
      <c r="F88" s="1258">
        <v>41.801</v>
      </c>
      <c r="G88" s="23">
        <f>(E88*1000)/F88</f>
        <v>8447.740484677399</v>
      </c>
      <c r="H88" s="853">
        <f>SUM(B88-E88)*100/E88</f>
        <v>-29.610561729024365</v>
      </c>
      <c r="I88" s="853">
        <f>SUM(C88-F88)*100/F88</f>
        <v>2.4903710437549265</v>
      </c>
      <c r="J88" s="854">
        <f>SUM(D88-G88)*100/G88</f>
        <v>-31.320925513163417</v>
      </c>
    </row>
    <row r="89" spans="1:10" ht="12.75">
      <c r="A89" s="524" t="s">
        <v>474</v>
      </c>
      <c r="B89" s="1258">
        <v>221.52</v>
      </c>
      <c r="C89" s="1258">
        <v>45.462</v>
      </c>
      <c r="D89" s="23">
        <f t="shared" si="13"/>
        <v>4872.640886894549</v>
      </c>
      <c r="E89" s="1258">
        <v>208.992</v>
      </c>
      <c r="F89" s="1258">
        <v>38.894</v>
      </c>
      <c r="G89" s="23">
        <f aca="true" t="shared" si="14" ref="G89:G94">(E89*1000)/F89</f>
        <v>5373.373785159665</v>
      </c>
      <c r="H89" s="853">
        <f aca="true" t="shared" si="15" ref="H89:J91">SUM(B89-E89)*100/E89</f>
        <v>5.994487827285265</v>
      </c>
      <c r="I89" s="853">
        <f t="shared" si="15"/>
        <v>16.88692343292026</v>
      </c>
      <c r="J89" s="854">
        <f t="shared" si="15"/>
        <v>-9.318780309831679</v>
      </c>
    </row>
    <row r="90" spans="1:10" ht="12.75">
      <c r="A90" s="524" t="s">
        <v>509</v>
      </c>
      <c r="B90" s="1258">
        <v>41.821</v>
      </c>
      <c r="C90" s="1258">
        <v>9.475</v>
      </c>
      <c r="D90" s="23">
        <f t="shared" si="13"/>
        <v>4413.825857519789</v>
      </c>
      <c r="E90" s="1258">
        <v>85.927</v>
      </c>
      <c r="F90" s="1258">
        <v>17.55</v>
      </c>
      <c r="G90" s="23">
        <f t="shared" si="14"/>
        <v>4896.125356125356</v>
      </c>
      <c r="H90" s="853">
        <f t="shared" si="15"/>
        <v>-51.32961700047716</v>
      </c>
      <c r="I90" s="853">
        <f t="shared" si="15"/>
        <v>-46.011396011396016</v>
      </c>
      <c r="J90" s="854">
        <f t="shared" si="15"/>
        <v>-9.850636238350818</v>
      </c>
    </row>
    <row r="91" spans="1:10" ht="12.75">
      <c r="A91" s="524" t="s">
        <v>473</v>
      </c>
      <c r="B91" s="1258">
        <v>40.879</v>
      </c>
      <c r="C91" s="1258">
        <v>5.639</v>
      </c>
      <c r="D91" s="23">
        <f t="shared" si="13"/>
        <v>7249.334988473133</v>
      </c>
      <c r="E91" s="1258">
        <v>22.335</v>
      </c>
      <c r="F91" s="1258">
        <v>1.062</v>
      </c>
      <c r="G91" s="23">
        <f t="shared" si="14"/>
        <v>21031.073446327682</v>
      </c>
      <c r="H91" s="853">
        <f>SUM(B91-E91)*100/E91</f>
        <v>83.02663980299975</v>
      </c>
      <c r="I91" s="853">
        <f t="shared" si="15"/>
        <v>430.97928436911485</v>
      </c>
      <c r="J91" s="854">
        <f t="shared" si="15"/>
        <v>-65.53036150544676</v>
      </c>
    </row>
    <row r="92" spans="1:10" ht="12.75">
      <c r="A92" s="524" t="s">
        <v>472</v>
      </c>
      <c r="B92" s="1258">
        <v>28.033</v>
      </c>
      <c r="C92" s="1258">
        <v>5.952</v>
      </c>
      <c r="D92" s="23">
        <f>(B92*1000)/C92</f>
        <v>4709.845430107527</v>
      </c>
      <c r="E92" s="1258">
        <v>106.775</v>
      </c>
      <c r="F92" s="1258">
        <v>27.472</v>
      </c>
      <c r="G92" s="23">
        <f>(E92*1000)/F92</f>
        <v>3886.684624344787</v>
      </c>
      <c r="H92" s="853">
        <f>SUM(B92-E92)*100/E92</f>
        <v>-73.74572699601967</v>
      </c>
      <c r="I92" s="853">
        <f>SUM(C92-F92)*100/F92</f>
        <v>-78.33430401863717</v>
      </c>
      <c r="J92" s="854">
        <f>SUM(D92-G92)*100/G92</f>
        <v>21.178996633963</v>
      </c>
    </row>
    <row r="93" spans="1:11" ht="12.75">
      <c r="A93" s="524" t="s">
        <v>476</v>
      </c>
      <c r="B93" s="1258">
        <v>27.04</v>
      </c>
      <c r="C93" s="1258">
        <v>4.913</v>
      </c>
      <c r="D93" s="23">
        <f>(B93*1000)/C93</f>
        <v>5503.76552004885</v>
      </c>
      <c r="E93" s="1258">
        <v>6.104</v>
      </c>
      <c r="F93" s="1258">
        <v>1.188</v>
      </c>
      <c r="G93" s="23">
        <f t="shared" si="14"/>
        <v>5138.047138047138</v>
      </c>
      <c r="H93" s="853">
        <v>0</v>
      </c>
      <c r="I93" s="853">
        <v>0</v>
      </c>
      <c r="J93" s="854">
        <v>0</v>
      </c>
      <c r="K93" s="847"/>
    </row>
    <row r="94" spans="1:10" ht="12.75">
      <c r="A94" s="524" t="s">
        <v>283</v>
      </c>
      <c r="B94" s="1258">
        <v>21.499</v>
      </c>
      <c r="C94" s="1258">
        <v>3.7</v>
      </c>
      <c r="D94" s="23">
        <f>(B94*1000)/C94</f>
        <v>5810.54054054054</v>
      </c>
      <c r="E94" s="1258">
        <v>7.735</v>
      </c>
      <c r="F94" s="1258">
        <v>1.2</v>
      </c>
      <c r="G94" s="23">
        <f t="shared" si="14"/>
        <v>6445.833333333334</v>
      </c>
      <c r="H94" s="853">
        <v>0</v>
      </c>
      <c r="I94" s="853">
        <v>0</v>
      </c>
      <c r="J94" s="854">
        <v>0</v>
      </c>
    </row>
    <row r="95" spans="1:10" ht="12.75">
      <c r="A95" s="524" t="s">
        <v>287</v>
      </c>
      <c r="B95" s="1258">
        <v>12.366</v>
      </c>
      <c r="C95" s="1258">
        <v>0.915</v>
      </c>
      <c r="D95" s="23">
        <f t="shared" si="13"/>
        <v>13514.754098360656</v>
      </c>
      <c r="E95" s="1258">
        <v>10.973</v>
      </c>
      <c r="F95" s="1258">
        <v>0.95</v>
      </c>
      <c r="G95" s="23">
        <v>0</v>
      </c>
      <c r="H95" s="853">
        <v>0</v>
      </c>
      <c r="I95" s="853">
        <v>0</v>
      </c>
      <c r="J95" s="854">
        <v>0</v>
      </c>
    </row>
    <row r="96" spans="1:10" ht="12.75">
      <c r="A96" s="524" t="s">
        <v>558</v>
      </c>
      <c r="B96" s="1258">
        <v>9.297</v>
      </c>
      <c r="C96" s="1258">
        <v>1.75</v>
      </c>
      <c r="D96" s="23">
        <f t="shared" si="13"/>
        <v>5312.571428571428</v>
      </c>
      <c r="E96" s="1258">
        <v>18.948</v>
      </c>
      <c r="F96" s="1258">
        <v>2.953</v>
      </c>
      <c r="G96" s="23">
        <f>(E96*1000)/F96</f>
        <v>6416.525567219777</v>
      </c>
      <c r="H96" s="853">
        <v>0</v>
      </c>
      <c r="I96" s="853">
        <v>0</v>
      </c>
      <c r="J96" s="854">
        <v>0</v>
      </c>
    </row>
    <row r="97" spans="1:10" ht="12.75">
      <c r="A97" s="248" t="s">
        <v>127</v>
      </c>
      <c r="B97" s="249">
        <f>SUM(B82:B96)</f>
        <v>5769.641999999999</v>
      </c>
      <c r="C97" s="249">
        <f>SUM(C82:C96)</f>
        <v>1021.5229999999999</v>
      </c>
      <c r="D97" s="250">
        <f t="shared" si="13"/>
        <v>5648.078408415669</v>
      </c>
      <c r="E97" s="249">
        <f>SUM(E82:E96)</f>
        <v>6049.932</v>
      </c>
      <c r="F97" s="249">
        <f>SUM(F82:F96)</f>
        <v>985.6460000000001</v>
      </c>
      <c r="G97" s="250">
        <f>(E97*1000)/F97</f>
        <v>6138.03738867707</v>
      </c>
      <c r="H97" s="860">
        <f>SUM(B97-E97)*100/E97</f>
        <v>-4.632944634749628</v>
      </c>
      <c r="I97" s="860">
        <f aca="true" t="shared" si="16" ref="I97:J99">SUM(C97-F97)*100/F97</f>
        <v>3.6399478108773167</v>
      </c>
      <c r="J97" s="861">
        <f t="shared" si="16"/>
        <v>-7.9823394553646025</v>
      </c>
    </row>
    <row r="98" spans="1:10" ht="12.75">
      <c r="A98" s="24" t="s">
        <v>150</v>
      </c>
      <c r="B98" s="25">
        <f>B99-B97</f>
        <v>28.588000000000648</v>
      </c>
      <c r="C98" s="25">
        <f>C99-C97</f>
        <v>3.9540000000001783</v>
      </c>
      <c r="D98" s="733">
        <f t="shared" si="13"/>
        <v>7230.14668689918</v>
      </c>
      <c r="E98" s="25">
        <f>E99-E97</f>
        <v>95.06800000000021</v>
      </c>
      <c r="F98" s="25">
        <f>F99-F97</f>
        <v>12.400999999999954</v>
      </c>
      <c r="G98" s="23">
        <f>(E98*1000)/F98</f>
        <v>7666.155955164952</v>
      </c>
      <c r="H98" s="853">
        <f>SUM(B98-E98)*100/E98</f>
        <v>-69.92889300290257</v>
      </c>
      <c r="I98" s="853">
        <f t="shared" si="16"/>
        <v>-68.11547455850179</v>
      </c>
      <c r="J98" s="854">
        <f t="shared" si="16"/>
        <v>-5.687456279467117</v>
      </c>
    </row>
    <row r="99" spans="1:10" ht="12.75">
      <c r="A99" s="251" t="s">
        <v>151</v>
      </c>
      <c r="B99" s="252">
        <f>B9</f>
        <v>5798.23</v>
      </c>
      <c r="C99" s="229">
        <f>C9</f>
        <v>1025.477</v>
      </c>
      <c r="D99" s="253">
        <f t="shared" si="13"/>
        <v>5654.178494495732</v>
      </c>
      <c r="E99" s="229">
        <f>E9</f>
        <v>6145</v>
      </c>
      <c r="F99" s="229">
        <f>F9</f>
        <v>998.047</v>
      </c>
      <c r="G99" s="253">
        <f>(E99*1000)/F99</f>
        <v>6157.024669178906</v>
      </c>
      <c r="H99" s="857">
        <f>SUM(B99-E99)*100/E99</f>
        <v>-5.643124491456476</v>
      </c>
      <c r="I99" s="857">
        <f t="shared" si="16"/>
        <v>2.748367561848296</v>
      </c>
      <c r="J99" s="862">
        <f t="shared" si="16"/>
        <v>-8.167031995183372</v>
      </c>
    </row>
    <row r="100" spans="1:10" ht="12.75">
      <c r="A100" s="238" t="s">
        <v>116</v>
      </c>
      <c r="B100" s="6"/>
      <c r="C100" s="6"/>
      <c r="D100" s="6"/>
      <c r="E100" s="6"/>
      <c r="F100" s="6"/>
      <c r="G100" s="21"/>
      <c r="H100" s="6"/>
      <c r="I100" s="6"/>
      <c r="J100" s="6"/>
    </row>
    <row r="101" spans="1:10" ht="12.75">
      <c r="A101" s="384"/>
      <c r="B101" s="384"/>
      <c r="C101" s="384"/>
      <c r="D101" s="384"/>
      <c r="E101" s="384"/>
      <c r="F101" s="384"/>
      <c r="G101" s="385"/>
      <c r="H101" s="384"/>
      <c r="I101" s="384"/>
      <c r="J101" s="384"/>
    </row>
    <row r="102" spans="1:10" ht="12.75">
      <c r="A102" s="1451" t="s">
        <v>155</v>
      </c>
      <c r="B102" s="1451"/>
      <c r="C102" s="1451"/>
      <c r="D102" s="1451"/>
      <c r="E102" s="1451"/>
      <c r="F102" s="1451"/>
      <c r="G102" s="1451"/>
      <c r="H102" s="1451"/>
      <c r="I102" s="1451"/>
      <c r="J102" s="1451"/>
    </row>
    <row r="103" spans="1:10" ht="12.75">
      <c r="A103" s="1452" t="s">
        <v>321</v>
      </c>
      <c r="B103" s="1452"/>
      <c r="C103" s="1452"/>
      <c r="D103" s="1452"/>
      <c r="E103" s="1452"/>
      <c r="F103" s="1452"/>
      <c r="G103" s="1452"/>
      <c r="H103" s="1452"/>
      <c r="I103" s="1452"/>
      <c r="J103" s="1452"/>
    </row>
    <row r="104" spans="1:10" ht="12.75">
      <c r="A104" s="255"/>
      <c r="B104" s="255"/>
      <c r="C104" s="255"/>
      <c r="D104" s="255"/>
      <c r="E104" s="255"/>
      <c r="F104" s="255"/>
      <c r="G104" s="255"/>
      <c r="H104" s="255"/>
      <c r="I104" s="255"/>
      <c r="J104" s="255"/>
    </row>
    <row r="105" spans="1:10" ht="12.75">
      <c r="A105" s="1453" t="s">
        <v>156</v>
      </c>
      <c r="B105" s="1453"/>
      <c r="C105" s="1453"/>
      <c r="D105" s="26"/>
      <c r="E105" s="26"/>
      <c r="F105" s="26"/>
      <c r="G105" s="26"/>
      <c r="H105" s="26"/>
      <c r="I105" s="26"/>
      <c r="J105" s="26"/>
    </row>
    <row r="106" spans="1:10" ht="12.75">
      <c r="A106" s="6"/>
      <c r="B106" s="6"/>
      <c r="C106" s="6"/>
      <c r="D106" s="6"/>
      <c r="E106" s="6"/>
      <c r="F106" s="6"/>
      <c r="G106" s="21"/>
      <c r="H106" s="6"/>
      <c r="I106" s="6"/>
      <c r="J106" s="6"/>
    </row>
    <row r="107" spans="1:10" ht="12.75">
      <c r="A107" s="1454" t="s">
        <v>147</v>
      </c>
      <c r="B107" s="1456" t="str">
        <f>B4</f>
        <v>Jan a Jun/2016</v>
      </c>
      <c r="C107" s="1457"/>
      <c r="D107" s="1458"/>
      <c r="E107" s="1458" t="str">
        <f>E4</f>
        <v>Jan a Jun/2015</v>
      </c>
      <c r="F107" s="1459"/>
      <c r="G107" s="1459"/>
      <c r="H107" s="1460" t="s">
        <v>105</v>
      </c>
      <c r="I107" s="1460"/>
      <c r="J107" s="1461"/>
    </row>
    <row r="108" spans="1:10" ht="12.75">
      <c r="A108" s="1455"/>
      <c r="B108" s="241" t="s">
        <v>106</v>
      </c>
      <c r="C108" s="232" t="s">
        <v>148</v>
      </c>
      <c r="D108" s="234" t="s">
        <v>108</v>
      </c>
      <c r="E108" s="232" t="s">
        <v>106</v>
      </c>
      <c r="F108" s="232" t="s">
        <v>148</v>
      </c>
      <c r="G108" s="230" t="s">
        <v>108</v>
      </c>
      <c r="H108" s="1460" t="str">
        <f>H5</f>
        <v>(16/15)</v>
      </c>
      <c r="I108" s="1460"/>
      <c r="J108" s="1461"/>
    </row>
    <row r="109" spans="1:10" ht="12.75">
      <c r="A109" s="242"/>
      <c r="B109" s="241" t="s">
        <v>149</v>
      </c>
      <c r="C109" s="232" t="s">
        <v>140</v>
      </c>
      <c r="D109" s="234" t="s">
        <v>141</v>
      </c>
      <c r="E109" s="232" t="s">
        <v>149</v>
      </c>
      <c r="F109" s="232" t="s">
        <v>140</v>
      </c>
      <c r="G109" s="230" t="s">
        <v>141</v>
      </c>
      <c r="H109" s="232" t="s">
        <v>106</v>
      </c>
      <c r="I109" s="232" t="s">
        <v>107</v>
      </c>
      <c r="J109" s="235" t="s">
        <v>108</v>
      </c>
    </row>
    <row r="110" spans="1:10" ht="12.75">
      <c r="A110" s="18" t="s">
        <v>281</v>
      </c>
      <c r="B110" s="1257">
        <v>11430.879</v>
      </c>
      <c r="C110" s="1257">
        <v>1961.379</v>
      </c>
      <c r="D110" s="23">
        <f aca="true" t="shared" si="17" ref="D110:D122">(B110*1000)/C110</f>
        <v>5827.980721726908</v>
      </c>
      <c r="E110" s="1257">
        <v>10723.225</v>
      </c>
      <c r="F110" s="1257">
        <v>1654.446</v>
      </c>
      <c r="G110" s="23">
        <f>(E110*1000)/F110</f>
        <v>6481.459654772655</v>
      </c>
      <c r="H110" s="853">
        <f aca="true" t="shared" si="18" ref="H110:H116">SUM(B110-E110)*100/E110</f>
        <v>6.599264680168518</v>
      </c>
      <c r="I110" s="853">
        <f>SUM(C110-F110)*100/F110</f>
        <v>18.55201076372393</v>
      </c>
      <c r="J110" s="854">
        <f>SUM(D110-G110)*100/G110</f>
        <v>-10.082280348139705</v>
      </c>
    </row>
    <row r="111" spans="1:10" ht="12.75">
      <c r="A111" s="18" t="s">
        <v>286</v>
      </c>
      <c r="B111" s="1257">
        <v>10266.537</v>
      </c>
      <c r="C111" s="1257">
        <v>2348.315</v>
      </c>
      <c r="D111" s="23">
        <f>(B113*1000)/C113</f>
        <v>42406.43972246314</v>
      </c>
      <c r="E111" s="1257">
        <v>10998.92</v>
      </c>
      <c r="F111" s="1257">
        <v>2112</v>
      </c>
      <c r="G111" s="23">
        <f>(E113*1000)/F113</f>
        <v>17391.644624805245</v>
      </c>
      <c r="H111" s="853">
        <f>SUM(B113-E113)*100/E113</f>
        <v>-18.507600126668784</v>
      </c>
      <c r="I111" s="853">
        <f>SUM(C113-F113)*100/F113</f>
        <v>-66.57849922098627</v>
      </c>
      <c r="J111" s="854">
        <f>SUM(D111-G111)*100/G111</f>
        <v>143.8322576001809</v>
      </c>
    </row>
    <row r="112" spans="1:10" ht="12.75">
      <c r="A112" s="18" t="s">
        <v>323</v>
      </c>
      <c r="B112" s="1257">
        <v>1910.849</v>
      </c>
      <c r="C112" s="1257">
        <v>395.014</v>
      </c>
      <c r="D112" s="23">
        <f t="shared" si="17"/>
        <v>4837.4209521687835</v>
      </c>
      <c r="E112" s="1257">
        <v>2047.26</v>
      </c>
      <c r="F112" s="1257">
        <v>356.04</v>
      </c>
      <c r="G112" s="23">
        <f>(E112*1000)/F112</f>
        <v>5750.084260195484</v>
      </c>
      <c r="H112" s="853">
        <f t="shared" si="18"/>
        <v>-6.663100925138969</v>
      </c>
      <c r="I112" s="853">
        <f>SUM(C112-F112)*100/F112</f>
        <v>10.946522862599704</v>
      </c>
      <c r="J112" s="854">
        <f>SUM(D112-G112)*100/G112</f>
        <v>-15.87217276700694</v>
      </c>
    </row>
    <row r="113" spans="1:10" ht="12.75">
      <c r="A113" s="524" t="s">
        <v>322</v>
      </c>
      <c r="B113" s="19">
        <v>391.157</v>
      </c>
      <c r="C113" s="19">
        <v>9.224</v>
      </c>
      <c r="D113" s="23">
        <f>(B113*1000)/C113</f>
        <v>42406.43972246314</v>
      </c>
      <c r="E113" s="19">
        <v>479.992</v>
      </c>
      <c r="F113" s="19">
        <v>27.599</v>
      </c>
      <c r="G113" s="23">
        <f>(E113*1000)/F113</f>
        <v>17391.644624805245</v>
      </c>
      <c r="H113" s="853">
        <f>SUM(B113-E113)*100/E113</f>
        <v>-18.507600126668784</v>
      </c>
      <c r="I113" s="853">
        <f>SUM(C113-F113)*100/F113</f>
        <v>-66.57849922098627</v>
      </c>
      <c r="J113" s="856">
        <f>SUM(D113-G113)*100/G113</f>
        <v>143.8322576001809</v>
      </c>
    </row>
    <row r="114" spans="1:10" ht="12.75">
      <c r="A114" s="18" t="s">
        <v>289</v>
      </c>
      <c r="B114" s="1257">
        <v>380.614</v>
      </c>
      <c r="C114" s="1257">
        <v>38.015</v>
      </c>
      <c r="D114" s="23">
        <f t="shared" si="17"/>
        <v>10012.20570827305</v>
      </c>
      <c r="E114" s="1257">
        <v>201.127</v>
      </c>
      <c r="F114" s="1257">
        <v>21.85</v>
      </c>
      <c r="G114" s="23">
        <f>(E114*1000)/F114</f>
        <v>9204.897025171624</v>
      </c>
      <c r="H114" s="853">
        <f t="shared" si="18"/>
        <v>89.24062905527352</v>
      </c>
      <c r="I114" s="853">
        <f>SUM(C114-F114)*100/F114</f>
        <v>73.98169336384439</v>
      </c>
      <c r="J114" s="854">
        <f>SUM(D114-G114)*100/G114</f>
        <v>8.77042601230375</v>
      </c>
    </row>
    <row r="115" spans="1:10" ht="12.75">
      <c r="A115" s="524" t="s">
        <v>474</v>
      </c>
      <c r="B115" s="1257">
        <v>293.07</v>
      </c>
      <c r="C115" s="1257">
        <v>41.081</v>
      </c>
      <c r="D115" s="23">
        <f t="shared" si="17"/>
        <v>7133.954869647769</v>
      </c>
      <c r="E115" s="1257">
        <v>416.392</v>
      </c>
      <c r="F115" s="1257">
        <v>45.993</v>
      </c>
      <c r="G115" s="23">
        <f>(E115*1000)/F115</f>
        <v>9053.37768790903</v>
      </c>
      <c r="H115" s="853">
        <f t="shared" si="18"/>
        <v>-29.61680339679917</v>
      </c>
      <c r="I115" s="853">
        <f>SUM(C115-F115)*100/F115</f>
        <v>-10.679886069619288</v>
      </c>
      <c r="J115" s="854">
        <f>SUM(D115-G115)*100/G115</f>
        <v>-21.20117910053271</v>
      </c>
    </row>
    <row r="116" spans="1:10" ht="12.75">
      <c r="A116" s="18" t="s">
        <v>291</v>
      </c>
      <c r="B116" s="1257">
        <v>180.84</v>
      </c>
      <c r="C116" s="1257">
        <v>42.6</v>
      </c>
      <c r="D116" s="23">
        <f t="shared" si="17"/>
        <v>4245.070422535211</v>
      </c>
      <c r="E116" s="1257">
        <v>368.778</v>
      </c>
      <c r="F116" s="1257">
        <v>71</v>
      </c>
      <c r="G116" s="23">
        <f aca="true" t="shared" si="19" ref="G116:G124">(E116*1000)/F116</f>
        <v>5194.056338028169</v>
      </c>
      <c r="H116" s="853">
        <f t="shared" si="18"/>
        <v>-50.96236760327352</v>
      </c>
      <c r="I116" s="853">
        <f>SUM(C116-F116)*100/F116</f>
        <v>-40</v>
      </c>
      <c r="J116" s="854">
        <f>SUM(D116-G116)*100/G116</f>
        <v>-18.27061267212253</v>
      </c>
    </row>
    <row r="117" spans="1:10" ht="12.75">
      <c r="A117" s="524" t="s">
        <v>287</v>
      </c>
      <c r="B117" s="1257">
        <v>41.436</v>
      </c>
      <c r="C117" s="1257">
        <v>0.47</v>
      </c>
      <c r="D117" s="23">
        <f>(B117*1000)/C117</f>
        <v>88161.70212765958</v>
      </c>
      <c r="E117" s="1257">
        <v>4.866</v>
      </c>
      <c r="F117" s="1257">
        <v>0.06</v>
      </c>
      <c r="G117" s="23">
        <f>(E117*1000)/F117</f>
        <v>81100</v>
      </c>
      <c r="H117" s="853">
        <f>SUM(B117-E117)*100/E117</f>
        <v>751.54130702836</v>
      </c>
      <c r="I117" s="853">
        <f>SUM(C117-F117)*100/F117</f>
        <v>683.3333333333334</v>
      </c>
      <c r="J117" s="854">
        <f>SUM(D117-G117)*100/G117</f>
        <v>8.707400897237456</v>
      </c>
    </row>
    <row r="118" spans="1:10" ht="12.75">
      <c r="A118" s="18" t="s">
        <v>288</v>
      </c>
      <c r="B118" s="1257">
        <v>38.216</v>
      </c>
      <c r="C118" s="1257">
        <v>4.62</v>
      </c>
      <c r="D118" s="23">
        <f>(B118*1000)/C118</f>
        <v>8271.861471861472</v>
      </c>
      <c r="E118" s="1257">
        <v>110.216</v>
      </c>
      <c r="F118" s="1257">
        <v>17.8</v>
      </c>
      <c r="G118" s="23">
        <f>(E118*1000)/F118</f>
        <v>6191.91011235955</v>
      </c>
      <c r="H118" s="853">
        <f>SUM(B118-E118)*100/E118</f>
        <v>-65.32626841837846</v>
      </c>
      <c r="I118" s="853">
        <f>SUM(C118-F118)*100/F118</f>
        <v>-74.04494382022472</v>
      </c>
      <c r="J118" s="854">
        <f>SUM(D118-G118)*100/G118</f>
        <v>33.591433366420674</v>
      </c>
    </row>
    <row r="119" spans="1:10" ht="12.75">
      <c r="A119" s="18" t="s">
        <v>290</v>
      </c>
      <c r="B119" s="1257">
        <v>31.042</v>
      </c>
      <c r="C119" s="1257">
        <v>2.314</v>
      </c>
      <c r="D119" s="23">
        <f>(B119*1000)/C119</f>
        <v>13414.86603284356</v>
      </c>
      <c r="E119" s="1257">
        <v>48.41</v>
      </c>
      <c r="F119" s="1257">
        <v>3.271</v>
      </c>
      <c r="G119" s="23">
        <f>(E119*1000)/F119</f>
        <v>14799.755426475085</v>
      </c>
      <c r="H119" s="853">
        <f>SUM(B119-E119)*100/E119</f>
        <v>-35.876884941127855</v>
      </c>
      <c r="I119" s="853">
        <f>SUM(C119-F119)*100/F119</f>
        <v>-29.257107918067867</v>
      </c>
      <c r="J119" s="854">
        <f>SUM(D119-G119)*100/G119</f>
        <v>-9.35751540295129</v>
      </c>
    </row>
    <row r="120" spans="1:10" ht="12.75">
      <c r="A120" s="524" t="s">
        <v>475</v>
      </c>
      <c r="B120" s="1257">
        <v>28.789</v>
      </c>
      <c r="C120" s="1257">
        <v>3.374</v>
      </c>
      <c r="D120" s="23">
        <f>(B120*1000)/C120</f>
        <v>8532.602252519264</v>
      </c>
      <c r="E120" s="1257">
        <v>5.193</v>
      </c>
      <c r="F120" s="1257">
        <v>0.756</v>
      </c>
      <c r="G120" s="23">
        <v>0</v>
      </c>
      <c r="H120" s="853">
        <v>0</v>
      </c>
      <c r="I120" s="853">
        <v>0</v>
      </c>
      <c r="J120" s="854">
        <v>0</v>
      </c>
    </row>
    <row r="121" spans="1:10" ht="12.75">
      <c r="A121" s="524" t="s">
        <v>479</v>
      </c>
      <c r="B121" s="1257">
        <v>11.691</v>
      </c>
      <c r="C121" s="1257">
        <v>2.1</v>
      </c>
      <c r="D121" s="23">
        <f t="shared" si="17"/>
        <v>5567.142857142857</v>
      </c>
      <c r="E121" s="1257">
        <v>0</v>
      </c>
      <c r="F121" s="1257">
        <v>0</v>
      </c>
      <c r="G121" s="23">
        <v>0</v>
      </c>
      <c r="H121" s="853">
        <v>0</v>
      </c>
      <c r="I121" s="853">
        <v>0</v>
      </c>
      <c r="J121" s="854">
        <v>0</v>
      </c>
    </row>
    <row r="122" spans="1:10" ht="12.75">
      <c r="A122" s="18" t="s">
        <v>280</v>
      </c>
      <c r="B122" s="1257">
        <v>11.529</v>
      </c>
      <c r="C122" s="1257">
        <v>0.743</v>
      </c>
      <c r="D122" s="23">
        <f t="shared" si="17"/>
        <v>15516.823687752356</v>
      </c>
      <c r="E122" s="1257">
        <v>286.199</v>
      </c>
      <c r="F122" s="1257">
        <v>49.907</v>
      </c>
      <c r="G122" s="23">
        <f t="shared" si="19"/>
        <v>5734.646442382833</v>
      </c>
      <c r="H122" s="853">
        <f>SUM(B122-E122)*100/E122</f>
        <v>-95.97168403802948</v>
      </c>
      <c r="I122" s="853">
        <f>SUM(C122-F122)*100/F122</f>
        <v>-98.51123088945438</v>
      </c>
      <c r="J122" s="854">
        <f>SUM(D122-G122)*100/G122</f>
        <v>170.58030244153778</v>
      </c>
    </row>
    <row r="123" spans="1:10" ht="12.75">
      <c r="A123" s="18" t="s">
        <v>293</v>
      </c>
      <c r="B123" s="1257">
        <v>1.343</v>
      </c>
      <c r="C123" s="1257">
        <v>0</v>
      </c>
      <c r="D123" s="23">
        <v>0</v>
      </c>
      <c r="E123" s="1257">
        <v>66.579</v>
      </c>
      <c r="F123" s="1257">
        <v>3.053</v>
      </c>
      <c r="G123" s="23">
        <f t="shared" si="19"/>
        <v>21807.73010153947</v>
      </c>
      <c r="H123" s="853">
        <f>SUM(B123-E123)*100/E123</f>
        <v>-97.98284744438936</v>
      </c>
      <c r="I123" s="853">
        <f>SUM(C123-F123)*100/F123</f>
        <v>-100</v>
      </c>
      <c r="J123" s="854">
        <f>SUM(D123-G123)*100/G123</f>
        <v>-100</v>
      </c>
    </row>
    <row r="124" spans="1:10" ht="12.75">
      <c r="A124" s="524" t="s">
        <v>506</v>
      </c>
      <c r="B124" s="1257">
        <v>0</v>
      </c>
      <c r="C124" s="1257">
        <v>0</v>
      </c>
      <c r="D124" s="23">
        <v>0</v>
      </c>
      <c r="E124" s="1257">
        <v>4.353</v>
      </c>
      <c r="F124" s="1257">
        <v>0.4</v>
      </c>
      <c r="G124" s="23">
        <f t="shared" si="19"/>
        <v>10882.5</v>
      </c>
      <c r="H124" s="853">
        <f>SUM(B124-E124)*100/E124</f>
        <v>-100</v>
      </c>
      <c r="I124" s="853">
        <f>SUM(C124-F124)*100/F124</f>
        <v>-100</v>
      </c>
      <c r="J124" s="854">
        <f>SUM(D124-G124)*100/G124</f>
        <v>-100</v>
      </c>
    </row>
    <row r="125" spans="1:10" ht="12.75">
      <c r="A125" s="248" t="s">
        <v>127</v>
      </c>
      <c r="B125" s="249">
        <f>SUM(B110:B124)</f>
        <v>25017.992000000002</v>
      </c>
      <c r="C125" s="249">
        <f>SUM(C110:C124)</f>
        <v>4849.249000000002</v>
      </c>
      <c r="D125" s="250">
        <f>(B125*1000)/C125</f>
        <v>5159.147736072121</v>
      </c>
      <c r="E125" s="249">
        <f>SUM(E110:E124)</f>
        <v>25761.51</v>
      </c>
      <c r="F125" s="249">
        <f>SUM(F110:F124)</f>
        <v>4364.175000000001</v>
      </c>
      <c r="G125" s="250">
        <f>(E125*1000)/F125</f>
        <v>5902.950729519323</v>
      </c>
      <c r="H125" s="860">
        <f>SUM(B125-E125)*100/E125</f>
        <v>-2.8861584588791436</v>
      </c>
      <c r="I125" s="860">
        <f aca="true" t="shared" si="20" ref="I125:J127">SUM(C125-F125)*100/F125</f>
        <v>11.11490717031284</v>
      </c>
      <c r="J125" s="861">
        <f t="shared" si="20"/>
        <v>-12.600528575100782</v>
      </c>
    </row>
    <row r="126" spans="1:11" ht="12.75">
      <c r="A126" s="24" t="s">
        <v>150</v>
      </c>
      <c r="B126" s="25">
        <f>B127-B125</f>
        <v>4.060999999997875</v>
      </c>
      <c r="C126" s="25">
        <f>C127-C125</f>
        <v>0.019999999998617568</v>
      </c>
      <c r="D126" s="250">
        <v>0</v>
      </c>
      <c r="E126" s="25">
        <f>E127-E125</f>
        <v>15.4900000000016</v>
      </c>
      <c r="F126" s="25">
        <f>F127-F125</f>
        <v>1.758999999999105</v>
      </c>
      <c r="G126" s="23">
        <v>0</v>
      </c>
      <c r="H126" s="863">
        <v>0</v>
      </c>
      <c r="I126" s="863">
        <v>0</v>
      </c>
      <c r="J126" s="864">
        <v>0</v>
      </c>
      <c r="K126" s="4"/>
    </row>
    <row r="127" spans="1:10" ht="12.75">
      <c r="A127" s="251" t="s">
        <v>151</v>
      </c>
      <c r="B127" s="252">
        <f>B10</f>
        <v>25022.053</v>
      </c>
      <c r="C127" s="252">
        <f>C10</f>
        <v>4849.269</v>
      </c>
      <c r="D127" s="253">
        <f>(B127*1000)/C127</f>
        <v>5159.963903837877</v>
      </c>
      <c r="E127" s="229">
        <f>E10</f>
        <v>25777</v>
      </c>
      <c r="F127" s="229">
        <f>F10</f>
        <v>4365.934</v>
      </c>
      <c r="G127" s="253">
        <f>(E127*1000)/F127</f>
        <v>5904.120401270381</v>
      </c>
      <c r="H127" s="857">
        <f>SUM(B127-E127)*100/E127</f>
        <v>-2.9287620747177723</v>
      </c>
      <c r="I127" s="857">
        <f t="shared" si="20"/>
        <v>11.070597952236566</v>
      </c>
      <c r="J127" s="862">
        <f t="shared" si="20"/>
        <v>-12.604019682125465</v>
      </c>
    </row>
    <row r="128" spans="1:10" ht="12.75">
      <c r="A128" s="233" t="s">
        <v>116</v>
      </c>
      <c r="B128" s="3"/>
      <c r="C128" s="3"/>
      <c r="D128" s="3"/>
      <c r="E128" s="3"/>
      <c r="F128" s="3"/>
      <c r="G128" s="17"/>
      <c r="H128" s="3"/>
      <c r="I128" s="3"/>
      <c r="J128" s="3"/>
    </row>
    <row r="129" spans="1:10" ht="12.75">
      <c r="A129" s="382"/>
      <c r="B129" s="382"/>
      <c r="C129" s="382"/>
      <c r="D129" s="382"/>
      <c r="E129" s="382"/>
      <c r="F129" s="382"/>
      <c r="G129" s="383"/>
      <c r="H129" s="382"/>
      <c r="I129" s="382"/>
      <c r="J129" s="382"/>
    </row>
  </sheetData>
  <sheetProtection/>
  <mergeCells count="39">
    <mergeCell ref="A2:J2"/>
    <mergeCell ref="A4:A5"/>
    <mergeCell ref="B4:D4"/>
    <mergeCell ref="E4:G4"/>
    <mergeCell ref="H4:J4"/>
    <mergeCell ref="H5:J5"/>
    <mergeCell ref="A20:J20"/>
    <mergeCell ref="A21:J21"/>
    <mergeCell ref="A23:C23"/>
    <mergeCell ref="A25:A26"/>
    <mergeCell ref="B25:D25"/>
    <mergeCell ref="E25:G25"/>
    <mergeCell ref="H25:J25"/>
    <mergeCell ref="H26:J26"/>
    <mergeCell ref="H80:J80"/>
    <mergeCell ref="A47:J47"/>
    <mergeCell ref="A48:J48"/>
    <mergeCell ref="A50:C50"/>
    <mergeCell ref="A52:A53"/>
    <mergeCell ref="B52:D52"/>
    <mergeCell ref="E52:G52"/>
    <mergeCell ref="H52:J52"/>
    <mergeCell ref="H53:J53"/>
    <mergeCell ref="A1:J1"/>
    <mergeCell ref="A102:J102"/>
    <mergeCell ref="A103:J103"/>
    <mergeCell ref="A105:C105"/>
    <mergeCell ref="A107:A108"/>
    <mergeCell ref="B107:D107"/>
    <mergeCell ref="E107:G107"/>
    <mergeCell ref="H107:J107"/>
    <mergeCell ref="H108:J108"/>
    <mergeCell ref="A74:J74"/>
    <mergeCell ref="A75:J75"/>
    <mergeCell ref="A77:C77"/>
    <mergeCell ref="A79:A80"/>
    <mergeCell ref="B79:D79"/>
    <mergeCell ref="E79:G79"/>
    <mergeCell ref="H79:J79"/>
  </mergeCells>
  <printOptions horizontalCentered="1"/>
  <pageMargins left="0.31496062992125984" right="0.31496062992125984" top="0.7874015748031497" bottom="0.7874015748031497" header="0.31496062992125984" footer="0.31496062992125984"/>
  <pageSetup horizontalDpi="600" verticalDpi="600" orientation="portrait" paperSize="9" scale="90" r:id="rId1"/>
</worksheet>
</file>

<file path=xl/worksheets/sheet24.xml><?xml version="1.0" encoding="utf-8"?>
<worksheet xmlns="http://schemas.openxmlformats.org/spreadsheetml/2006/main" xmlns:r="http://schemas.openxmlformats.org/officeDocument/2006/relationships">
  <dimension ref="A1:M43"/>
  <sheetViews>
    <sheetView zoomScalePageLayoutView="0" workbookViewId="0" topLeftCell="A1">
      <selection activeCell="M31" sqref="M31"/>
    </sheetView>
  </sheetViews>
  <sheetFormatPr defaultColWidth="9.140625" defaultRowHeight="12.75"/>
  <cols>
    <col min="1" max="1" width="40.57421875" style="0" customWidth="1"/>
    <col min="2" max="2" width="10.28125" style="0" bestFit="1" customWidth="1"/>
    <col min="3" max="3" width="9.00390625" style="0" bestFit="1" customWidth="1"/>
    <col min="4" max="4" width="10.28125" style="0" bestFit="1" customWidth="1"/>
    <col min="5" max="5" width="9.00390625" style="0" bestFit="1" customWidth="1"/>
    <col min="6" max="6" width="12.00390625" style="0" customWidth="1"/>
    <col min="7" max="7" width="11.140625" style="0" customWidth="1"/>
    <col min="8" max="8" width="12.57421875" style="0" customWidth="1"/>
    <col min="9" max="9" width="11.8515625" style="0" customWidth="1"/>
    <col min="10" max="11" width="9.00390625" style="0" customWidth="1"/>
    <col min="12" max="12" width="8.57421875" style="0" customWidth="1"/>
    <col min="254" max="254" width="39.421875" style="0" customWidth="1"/>
    <col min="255" max="255" width="10.28125" style="0" bestFit="1" customWidth="1"/>
    <col min="256" max="16384" width="9.00390625" style="0" bestFit="1" customWidth="1"/>
  </cols>
  <sheetData>
    <row r="1" spans="1:12" ht="12.75">
      <c r="A1" s="1450" t="s">
        <v>424</v>
      </c>
      <c r="B1" s="1450"/>
      <c r="C1" s="1450"/>
      <c r="D1" s="1450"/>
      <c r="E1" s="1450"/>
      <c r="F1" s="1450"/>
      <c r="G1" s="1450"/>
      <c r="H1" s="1450"/>
      <c r="I1" s="1450"/>
      <c r="J1" s="1450"/>
      <c r="K1" s="1450"/>
      <c r="L1" s="1450"/>
    </row>
    <row r="2" spans="1:12" ht="12.75">
      <c r="A2" s="1478" t="s">
        <v>491</v>
      </c>
      <c r="B2" s="1478"/>
      <c r="C2" s="1478"/>
      <c r="D2" s="1478"/>
      <c r="E2" s="1478"/>
      <c r="F2" s="1478"/>
      <c r="G2" s="1478"/>
      <c r="H2" s="1478"/>
      <c r="I2" s="1478"/>
      <c r="J2" s="1478"/>
      <c r="K2" s="1478"/>
      <c r="L2" s="1478"/>
    </row>
    <row r="3" spans="1:12" ht="13.5" thickBot="1">
      <c r="A3" s="1488" t="s">
        <v>565</v>
      </c>
      <c r="B3" s="1488"/>
      <c r="C3" s="1488"/>
      <c r="D3" s="1488"/>
      <c r="E3" s="1488"/>
      <c r="F3" s="1488"/>
      <c r="G3" s="1488"/>
      <c r="H3" s="1488"/>
      <c r="I3" s="1488"/>
      <c r="J3" s="1488"/>
      <c r="K3" s="1488"/>
      <c r="L3" s="1488"/>
    </row>
    <row r="4" spans="1:12" ht="19.5" customHeight="1" thickBot="1">
      <c r="A4" s="1479" t="s">
        <v>353</v>
      </c>
      <c r="B4" s="1472" t="s">
        <v>354</v>
      </c>
      <c r="C4" s="1482"/>
      <c r="D4" s="1482"/>
      <c r="E4" s="1473"/>
      <c r="F4" s="1483" t="s">
        <v>378</v>
      </c>
      <c r="G4" s="1483" t="s">
        <v>355</v>
      </c>
      <c r="H4" s="1483" t="s">
        <v>356</v>
      </c>
      <c r="I4" s="1483" t="s">
        <v>357</v>
      </c>
      <c r="J4" s="1483" t="s">
        <v>358</v>
      </c>
      <c r="K4" s="1486" t="s">
        <v>375</v>
      </c>
      <c r="L4" s="1487"/>
    </row>
    <row r="5" spans="1:12" ht="19.5" customHeight="1" thickBot="1">
      <c r="A5" s="1480"/>
      <c r="B5" s="1472" t="s">
        <v>359</v>
      </c>
      <c r="C5" s="1473"/>
      <c r="D5" s="1472" t="s">
        <v>360</v>
      </c>
      <c r="E5" s="1473"/>
      <c r="F5" s="1484"/>
      <c r="G5" s="1484"/>
      <c r="H5" s="1484"/>
      <c r="I5" s="1484"/>
      <c r="J5" s="1484"/>
      <c r="K5" s="1474" t="s">
        <v>361</v>
      </c>
      <c r="L5" s="1476" t="s">
        <v>362</v>
      </c>
    </row>
    <row r="6" spans="1:12" ht="15" customHeight="1" thickBot="1">
      <c r="A6" s="1481"/>
      <c r="B6" s="682" t="s">
        <v>363</v>
      </c>
      <c r="C6" s="682" t="s">
        <v>364</v>
      </c>
      <c r="D6" s="682" t="s">
        <v>363</v>
      </c>
      <c r="E6" s="682" t="s">
        <v>364</v>
      </c>
      <c r="F6" s="1485"/>
      <c r="G6" s="1485"/>
      <c r="H6" s="1485"/>
      <c r="I6" s="1485"/>
      <c r="J6" s="1485"/>
      <c r="K6" s="1475"/>
      <c r="L6" s="1477"/>
    </row>
    <row r="7" spans="1:12" ht="15" customHeight="1" thickBot="1">
      <c r="A7" s="567" t="s">
        <v>377</v>
      </c>
      <c r="B7" s="568">
        <f>(B14+B25+B27+B29+B31)/5</f>
        <v>9769.502546969436</v>
      </c>
      <c r="C7" s="568">
        <f>(C14+C25+C27+C29+C31)/5</f>
        <v>422.1740124347558</v>
      </c>
      <c r="D7" s="568">
        <f>(D14+D25+D27+D29+D31)/5</f>
        <v>12058.89045327291</v>
      </c>
      <c r="E7" s="568">
        <f>(E14+E25+E27+E29+E31)/5</f>
        <v>506.36924070716196</v>
      </c>
      <c r="F7" s="564">
        <f>F12+F14+F25+F27+F29+F31</f>
        <v>1387351</v>
      </c>
      <c r="G7" s="541">
        <v>1497293</v>
      </c>
      <c r="H7" s="566">
        <f>(G7/$G$7)*100</f>
        <v>100</v>
      </c>
      <c r="I7" s="542">
        <f>(F7/G7)*100</f>
        <v>92.65728217523224</v>
      </c>
      <c r="J7" s="569">
        <f>'8.Cotações'!F15</f>
        <v>498.52</v>
      </c>
      <c r="K7" s="572">
        <f>(J7/C7-1)*100</f>
        <v>18.084009274977085</v>
      </c>
      <c r="L7" s="573">
        <f>(J7/E7-1)*100</f>
        <v>-1.5501021934508197</v>
      </c>
    </row>
    <row r="8" spans="1:12" ht="12.75" customHeight="1">
      <c r="A8" s="1156" t="s">
        <v>485</v>
      </c>
      <c r="B8" s="582">
        <v>12799.46</v>
      </c>
      <c r="C8" s="582">
        <f>B8/50</f>
        <v>255.98919999999998</v>
      </c>
      <c r="D8" s="582">
        <v>16527.94</v>
      </c>
      <c r="E8" s="638">
        <f>D8/50</f>
        <v>330.55879999999996</v>
      </c>
      <c r="F8" s="639">
        <v>9129</v>
      </c>
      <c r="G8" s="639">
        <v>9129</v>
      </c>
      <c r="H8" s="640">
        <f>(G8/$G$7)*100</f>
        <v>0.6097003058185673</v>
      </c>
      <c r="I8" s="640">
        <f>(F8/G8)*100</f>
        <v>100</v>
      </c>
      <c r="J8" s="641">
        <f>J7</f>
        <v>498.52</v>
      </c>
      <c r="K8" s="641">
        <f>(J8/C8-1)*100</f>
        <v>94.7425907030453</v>
      </c>
      <c r="L8" s="642">
        <f>(J8/E8-1)*100</f>
        <v>50.8112928773943</v>
      </c>
    </row>
    <row r="9" spans="1:12" ht="12.75" customHeight="1">
      <c r="A9" s="643" t="s">
        <v>374</v>
      </c>
      <c r="B9" s="583"/>
      <c r="C9" s="582"/>
      <c r="D9" s="582"/>
      <c r="E9" s="583"/>
      <c r="F9" s="595"/>
      <c r="G9" s="596"/>
      <c r="H9" s="644"/>
      <c r="I9" s="599"/>
      <c r="J9" s="645"/>
      <c r="K9" s="645"/>
      <c r="L9" s="589"/>
    </row>
    <row r="10" spans="1:12" ht="12.75" customHeight="1">
      <c r="A10" s="643" t="s">
        <v>492</v>
      </c>
      <c r="B10" s="582"/>
      <c r="C10" s="582"/>
      <c r="D10" s="582"/>
      <c r="E10" s="582"/>
      <c r="F10" s="596"/>
      <c r="G10" s="596"/>
      <c r="H10" s="644"/>
      <c r="I10" s="599"/>
      <c r="J10" s="645"/>
      <c r="K10" s="645"/>
      <c r="L10" s="589"/>
    </row>
    <row r="11" spans="1:12" ht="12.75" customHeight="1">
      <c r="A11" s="643" t="s">
        <v>493</v>
      </c>
      <c r="B11" s="583"/>
      <c r="C11" s="582"/>
      <c r="D11" s="582"/>
      <c r="E11" s="582"/>
      <c r="F11" s="596"/>
      <c r="G11" s="596"/>
      <c r="H11" s="644"/>
      <c r="I11" s="599"/>
      <c r="J11" s="645"/>
      <c r="K11" s="645"/>
      <c r="L11" s="589"/>
    </row>
    <row r="12" spans="1:13" ht="15" customHeight="1" thickBot="1">
      <c r="A12" s="646" t="s">
        <v>503</v>
      </c>
      <c r="B12" s="647"/>
      <c r="C12" s="647"/>
      <c r="D12" s="647"/>
      <c r="E12" s="647"/>
      <c r="F12" s="648">
        <v>9129</v>
      </c>
      <c r="G12" s="648">
        <f>143939-35228</f>
        <v>108711</v>
      </c>
      <c r="H12" s="634">
        <f>(G12/$G$7)*100</f>
        <v>7.2605027873635954</v>
      </c>
      <c r="I12" s="634">
        <f>(F12/G12)*100</f>
        <v>8.397494273808539</v>
      </c>
      <c r="J12" s="636">
        <f>J7</f>
        <v>498.52</v>
      </c>
      <c r="K12" s="636"/>
      <c r="L12" s="637"/>
      <c r="M12" s="4"/>
    </row>
    <row r="13" spans="1:13" ht="12.75" customHeight="1">
      <c r="A13" s="650" t="s">
        <v>365</v>
      </c>
      <c r="B13" s="651">
        <v>9865.027483631726</v>
      </c>
      <c r="C13" s="652">
        <f>B13/55</f>
        <v>179.36413606603136</v>
      </c>
      <c r="D13" s="652">
        <v>14725.536103803714</v>
      </c>
      <c r="E13" s="652">
        <f>D13/55</f>
        <v>267.7370200691584</v>
      </c>
      <c r="F13" s="653"/>
      <c r="G13" s="653"/>
      <c r="H13" s="654"/>
      <c r="I13" s="654"/>
      <c r="J13" s="655"/>
      <c r="K13" s="655"/>
      <c r="L13" s="656"/>
      <c r="M13" s="4"/>
    </row>
    <row r="14" spans="1:13" ht="15" customHeight="1" thickBot="1">
      <c r="A14" s="657" t="s">
        <v>494</v>
      </c>
      <c r="B14" s="658">
        <f>B13</f>
        <v>9865.027483631726</v>
      </c>
      <c r="C14" s="658">
        <f>B14/36.81</f>
        <v>267.998573312462</v>
      </c>
      <c r="D14" s="658">
        <f>D13</f>
        <v>14725.536103803714</v>
      </c>
      <c r="E14" s="658">
        <f>D14/36.81</f>
        <v>400.0417306113478</v>
      </c>
      <c r="F14" s="659">
        <v>6175</v>
      </c>
      <c r="G14" s="659">
        <v>6175</v>
      </c>
      <c r="H14" s="660">
        <f>(G14/$G$7)*100</f>
        <v>0.412410930926679</v>
      </c>
      <c r="I14" s="661">
        <f>(F14/G14)*100</f>
        <v>100</v>
      </c>
      <c r="J14" s="662">
        <f>J7</f>
        <v>498.52</v>
      </c>
      <c r="K14" s="663">
        <f>(J14/C14-1)*100</f>
        <v>86.01591562159958</v>
      </c>
      <c r="L14" s="664">
        <f>(J14/E14-1)*100</f>
        <v>24.61699914110378</v>
      </c>
      <c r="M14" s="4"/>
    </row>
    <row r="15" spans="1:13" ht="12.75" customHeight="1">
      <c r="A15" s="574" t="s">
        <v>450</v>
      </c>
      <c r="B15" s="575">
        <f>(SUM(B16:B20)/5)</f>
        <v>10064.737876823177</v>
      </c>
      <c r="C15" s="575">
        <f>B15/21.6</f>
        <v>465.9600868899619</v>
      </c>
      <c r="D15" s="575">
        <f>(SUM(D16:D20)/5)</f>
        <v>11998.34424384125</v>
      </c>
      <c r="E15" s="575">
        <f>D15/21.6</f>
        <v>555.4789001778356</v>
      </c>
      <c r="F15" s="576">
        <v>474611</v>
      </c>
      <c r="G15" s="576">
        <v>474611</v>
      </c>
      <c r="H15" s="577">
        <f>(G15/$G$7)*100</f>
        <v>31.697937544622196</v>
      </c>
      <c r="I15" s="577">
        <f>(G15/F25)*100</f>
        <v>49.05763156153872</v>
      </c>
      <c r="J15" s="578">
        <f>J7</f>
        <v>498.52</v>
      </c>
      <c r="K15" s="579">
        <f>(J15/C15-1)*100</f>
        <v>6.987704317629095</v>
      </c>
      <c r="L15" s="580">
        <f>(J15/E15-1)*100</f>
        <v>-10.254016877976879</v>
      </c>
      <c r="M15" s="4"/>
    </row>
    <row r="16" spans="1:13" ht="24.75">
      <c r="A16" s="1155" t="s">
        <v>487</v>
      </c>
      <c r="B16" s="582">
        <v>10227.49</v>
      </c>
      <c r="C16" s="582">
        <f>B16/30</f>
        <v>340.91633333333334</v>
      </c>
      <c r="D16" s="582">
        <v>12925.7</v>
      </c>
      <c r="E16" s="583">
        <f>D16/30</f>
        <v>430.8566666666667</v>
      </c>
      <c r="F16" s="584"/>
      <c r="G16" s="585"/>
      <c r="H16" s="586"/>
      <c r="I16" s="587"/>
      <c r="J16" s="588"/>
      <c r="K16" s="588"/>
      <c r="L16" s="589"/>
      <c r="M16" s="4"/>
    </row>
    <row r="17" spans="1:13" ht="25.5" customHeight="1">
      <c r="A17" s="1156" t="s">
        <v>488</v>
      </c>
      <c r="B17" s="582">
        <v>9070.37</v>
      </c>
      <c r="C17" s="582">
        <f>B17/25</f>
        <v>362.81480000000005</v>
      </c>
      <c r="D17" s="582">
        <v>11777.54</v>
      </c>
      <c r="E17" s="582">
        <f>D17/25</f>
        <v>471.1016</v>
      </c>
      <c r="F17" s="590"/>
      <c r="G17" s="591"/>
      <c r="H17" s="592"/>
      <c r="I17" s="587"/>
      <c r="J17" s="593"/>
      <c r="K17" s="594"/>
      <c r="L17" s="589"/>
      <c r="M17" s="4"/>
    </row>
    <row r="18" spans="1:13" ht="12.75" customHeight="1">
      <c r="A18" s="1155" t="s">
        <v>484</v>
      </c>
      <c r="B18" s="582">
        <v>13161.29</v>
      </c>
      <c r="C18" s="582">
        <f>B18/30</f>
        <v>438.7096666666667</v>
      </c>
      <c r="D18" s="582">
        <v>14918.87</v>
      </c>
      <c r="E18" s="583">
        <f>D18/30</f>
        <v>497.2956666666667</v>
      </c>
      <c r="F18" s="595"/>
      <c r="G18" s="596"/>
      <c r="H18" s="597"/>
      <c r="I18" s="598"/>
      <c r="J18" s="597"/>
      <c r="K18" s="597"/>
      <c r="L18" s="589"/>
      <c r="M18" s="4"/>
    </row>
    <row r="19" spans="1:13" ht="12.75" customHeight="1">
      <c r="A19" s="581" t="s">
        <v>381</v>
      </c>
      <c r="B19" s="582">
        <v>7865.693781489408</v>
      </c>
      <c r="C19" s="582">
        <f>B19/30</f>
        <v>262.1897927163136</v>
      </c>
      <c r="D19" s="582">
        <v>9096.100859132855</v>
      </c>
      <c r="E19" s="583">
        <f>D19/30</f>
        <v>303.2033619710952</v>
      </c>
      <c r="F19" s="595"/>
      <c r="G19" s="596"/>
      <c r="H19" s="597"/>
      <c r="I19" s="599"/>
      <c r="J19" s="600"/>
      <c r="K19" s="600"/>
      <c r="L19" s="589"/>
      <c r="M19" s="4"/>
    </row>
    <row r="20" spans="1:13" ht="12.75" customHeight="1">
      <c r="A20" s="601" t="s">
        <v>382</v>
      </c>
      <c r="B20" s="602">
        <v>9998.845602626476</v>
      </c>
      <c r="C20" s="602">
        <f>B20/30</f>
        <v>333.29485342088253</v>
      </c>
      <c r="D20" s="602">
        <v>11273.510360073386</v>
      </c>
      <c r="E20" s="602">
        <f>D20/30</f>
        <v>375.7836786691129</v>
      </c>
      <c r="F20" s="603"/>
      <c r="G20" s="603"/>
      <c r="H20" s="604"/>
      <c r="I20" s="605"/>
      <c r="J20" s="604"/>
      <c r="K20" s="604"/>
      <c r="L20" s="606"/>
      <c r="M20" s="4"/>
    </row>
    <row r="21" spans="1:13" ht="12.75" customHeight="1">
      <c r="A21" s="574" t="s">
        <v>495</v>
      </c>
      <c r="B21" s="575">
        <f>(SUM(B16:B20))/5</f>
        <v>10064.737876823177</v>
      </c>
      <c r="C21" s="575">
        <f>B21/24.8</f>
        <v>405.836204710612</v>
      </c>
      <c r="D21" s="575">
        <f>(SUM(D16:D20))/5</f>
        <v>11998.34424384125</v>
      </c>
      <c r="E21" s="575">
        <f>D21/24.8</f>
        <v>483.8042033806955</v>
      </c>
      <c r="F21" s="576">
        <v>170634</v>
      </c>
      <c r="G21" s="576">
        <v>170634</v>
      </c>
      <c r="H21" s="577">
        <f>(G21/$G$7)*100</f>
        <v>11.396166281415862</v>
      </c>
      <c r="I21" s="577">
        <f>(G21/F25)*100</f>
        <v>17.637391261204645</v>
      </c>
      <c r="J21" s="607">
        <f>J7</f>
        <v>498.52</v>
      </c>
      <c r="K21" s="579">
        <f>(J21/C21-1)*100</f>
        <v>22.837734586907455</v>
      </c>
      <c r="L21" s="580">
        <f>(J21/E21-1)*100</f>
        <v>3.0416843252857984</v>
      </c>
      <c r="M21" s="4"/>
    </row>
    <row r="22" spans="1:13" ht="12.75">
      <c r="A22" s="1157" t="s">
        <v>486</v>
      </c>
      <c r="B22" s="608">
        <v>8969.88</v>
      </c>
      <c r="C22" s="608">
        <f>B22/30</f>
        <v>298.996</v>
      </c>
      <c r="D22" s="608">
        <v>11750.92</v>
      </c>
      <c r="E22" s="609">
        <f>D22/30</f>
        <v>391.69733333333335</v>
      </c>
      <c r="F22" s="610"/>
      <c r="G22" s="611"/>
      <c r="H22" s="612"/>
      <c r="I22" s="613"/>
      <c r="J22" s="614"/>
      <c r="K22" s="614"/>
      <c r="L22" s="615"/>
      <c r="M22" s="4"/>
    </row>
    <row r="23" spans="1:13" ht="12.75" customHeight="1">
      <c r="A23" s="574" t="s">
        <v>496</v>
      </c>
      <c r="B23" s="575">
        <f>B24</f>
        <v>7945.5</v>
      </c>
      <c r="C23" s="575">
        <f>B23/23.25</f>
        <v>341.741935483871</v>
      </c>
      <c r="D23" s="575">
        <f>D24</f>
        <v>9396.57</v>
      </c>
      <c r="E23" s="575">
        <f>D23/23.25</f>
        <v>404.15354838709675</v>
      </c>
      <c r="F23" s="576">
        <v>288336</v>
      </c>
      <c r="G23" s="576">
        <v>288336</v>
      </c>
      <c r="H23" s="577">
        <f>(G23/$G$7)*100</f>
        <v>19.257152741647758</v>
      </c>
      <c r="I23" s="577">
        <f>(G23/F25)*100</f>
        <v>29.80352594846691</v>
      </c>
      <c r="J23" s="578">
        <f>J7</f>
        <v>498.52</v>
      </c>
      <c r="K23" s="579">
        <f>(J23/C23-1)*100</f>
        <v>45.87615631489521</v>
      </c>
      <c r="L23" s="580">
        <f>(J23/E23-1)*100</f>
        <v>23.349158256683022</v>
      </c>
      <c r="M23" s="4"/>
    </row>
    <row r="24" spans="1:13" s="488" customFormat="1" ht="12.75" customHeight="1">
      <c r="A24" s="1159" t="s">
        <v>489</v>
      </c>
      <c r="B24" s="602">
        <v>7945.5</v>
      </c>
      <c r="C24" s="602">
        <f>B24/24</f>
        <v>331.0625</v>
      </c>
      <c r="D24" s="602">
        <v>9396.57</v>
      </c>
      <c r="E24" s="616">
        <f>D24/24</f>
        <v>391.52375</v>
      </c>
      <c r="F24" s="617"/>
      <c r="G24" s="603"/>
      <c r="H24" s="605"/>
      <c r="I24" s="605"/>
      <c r="J24" s="604"/>
      <c r="K24" s="604"/>
      <c r="L24" s="606"/>
      <c r="M24" s="553"/>
    </row>
    <row r="25" spans="1:13" ht="15" customHeight="1" thickBot="1">
      <c r="A25" s="618" t="s">
        <v>497</v>
      </c>
      <c r="B25" s="619">
        <f>(B15+B21+B23)/3</f>
        <v>9358.325251215452</v>
      </c>
      <c r="C25" s="619">
        <f>B25/22.59</f>
        <v>414.268492749688</v>
      </c>
      <c r="D25" s="619">
        <f>(D15+D21+D23)/3</f>
        <v>11131.086162560832</v>
      </c>
      <c r="E25" s="619">
        <f>D25/22.59</f>
        <v>492.74396469946134</v>
      </c>
      <c r="F25" s="620">
        <v>967456</v>
      </c>
      <c r="G25" s="620">
        <v>967456</v>
      </c>
      <c r="H25" s="621">
        <f>H15+H23+H21</f>
        <v>62.35125656768581</v>
      </c>
      <c r="I25" s="622">
        <f>I15+I21+I23</f>
        <v>96.49854877121028</v>
      </c>
      <c r="J25" s="623">
        <f>J7</f>
        <v>498.52</v>
      </c>
      <c r="K25" s="624">
        <f>(J25/C25-1)*100</f>
        <v>20.3374161262172</v>
      </c>
      <c r="L25" s="625">
        <f>(J25/E25-1)*100</f>
        <v>1.172218375939238</v>
      </c>
      <c r="M25" s="4"/>
    </row>
    <row r="26" spans="1:13" ht="12.75" customHeight="1">
      <c r="A26" s="1158" t="s">
        <v>366</v>
      </c>
      <c r="B26" s="665">
        <v>9867.97</v>
      </c>
      <c r="C26" s="665">
        <f>B26/30</f>
        <v>328.9323333333333</v>
      </c>
      <c r="D26" s="665">
        <v>11731.07</v>
      </c>
      <c r="E26" s="666">
        <f>D26/30</f>
        <v>391.03566666666666</v>
      </c>
      <c r="F26" s="667"/>
      <c r="G26" s="653"/>
      <c r="H26" s="654"/>
      <c r="I26" s="550"/>
      <c r="J26" s="668"/>
      <c r="K26" s="668"/>
      <c r="L26" s="656"/>
      <c r="M26" s="4"/>
    </row>
    <row r="27" spans="1:13" ht="15" customHeight="1" thickBot="1">
      <c r="A27" s="657" t="s">
        <v>498</v>
      </c>
      <c r="B27" s="669">
        <f>B26</f>
        <v>9867.97</v>
      </c>
      <c r="C27" s="669">
        <f>B27/27.19</f>
        <v>362.9264435454211</v>
      </c>
      <c r="D27" s="669">
        <f>D26</f>
        <v>11731.07</v>
      </c>
      <c r="E27" s="669">
        <f>D27/27.19</f>
        <v>431.4479588083854</v>
      </c>
      <c r="F27" s="659">
        <v>44500</v>
      </c>
      <c r="G27" s="659">
        <v>44500</v>
      </c>
      <c r="H27" s="660">
        <f>(G27/$G$7)*100</f>
        <v>2.9720301904837596</v>
      </c>
      <c r="I27" s="661">
        <f>(G27/F27)*100</f>
        <v>100</v>
      </c>
      <c r="J27" s="662">
        <f>J7</f>
        <v>498.52</v>
      </c>
      <c r="K27" s="663">
        <f>(J27/C27-1)*100</f>
        <v>37.36116749442895</v>
      </c>
      <c r="L27" s="664">
        <f>(J27/E27-1)*100</f>
        <v>15.54580102241314</v>
      </c>
      <c r="M27" s="4"/>
    </row>
    <row r="28" spans="1:13" ht="12.75" customHeight="1">
      <c r="A28" s="1154" t="s">
        <v>367</v>
      </c>
      <c r="B28" s="627">
        <v>9304.08</v>
      </c>
      <c r="C28" s="627">
        <f>B28/30</f>
        <v>310.136</v>
      </c>
      <c r="D28" s="627">
        <v>10880.34</v>
      </c>
      <c r="E28" s="627">
        <f>D28/30</f>
        <v>362.678</v>
      </c>
      <c r="F28" s="628"/>
      <c r="G28" s="628"/>
      <c r="H28" s="629"/>
      <c r="I28" s="605"/>
      <c r="J28" s="630"/>
      <c r="K28" s="630"/>
      <c r="L28" s="631"/>
      <c r="M28" s="4"/>
    </row>
    <row r="29" spans="1:13" ht="15" customHeight="1" thickBot="1">
      <c r="A29" s="618" t="s">
        <v>499</v>
      </c>
      <c r="B29" s="632">
        <f>B28</f>
        <v>9304.08</v>
      </c>
      <c r="C29" s="632">
        <f>B29/18.85</f>
        <v>493.5851458885941</v>
      </c>
      <c r="D29" s="632">
        <f>D28</f>
        <v>10880.34</v>
      </c>
      <c r="E29" s="632">
        <f>D29/18.85</f>
        <v>577.2063660477453</v>
      </c>
      <c r="F29" s="620">
        <v>203490</v>
      </c>
      <c r="G29" s="620">
        <v>203490</v>
      </c>
      <c r="H29" s="633">
        <f>(G29/$G$7)*100</f>
        <v>13.590526369922253</v>
      </c>
      <c r="I29" s="634">
        <f>(G29/F29)*100</f>
        <v>100</v>
      </c>
      <c r="J29" s="635">
        <f>J7</f>
        <v>498.52</v>
      </c>
      <c r="K29" s="636">
        <f>(J29/C29-1)*100</f>
        <v>0.9997979381088706</v>
      </c>
      <c r="L29" s="637">
        <f>(J29/E29-1)*100</f>
        <v>-13.63227619725118</v>
      </c>
      <c r="M29" s="4"/>
    </row>
    <row r="30" spans="1:13" ht="15" customHeight="1">
      <c r="A30" s="1158" t="s">
        <v>490</v>
      </c>
      <c r="B30" s="665">
        <v>10452.11</v>
      </c>
      <c r="C30" s="665">
        <f>B30/20</f>
        <v>522.6055</v>
      </c>
      <c r="D30" s="665">
        <v>11826.42</v>
      </c>
      <c r="E30" s="666">
        <f>D30/20</f>
        <v>591.321</v>
      </c>
      <c r="F30" s="667"/>
      <c r="G30" s="667"/>
      <c r="H30" s="654"/>
      <c r="I30" s="550"/>
      <c r="J30" s="668"/>
      <c r="K30" s="668"/>
      <c r="L30" s="656"/>
      <c r="M30" s="4"/>
    </row>
    <row r="31" spans="1:13" ht="15" customHeight="1" thickBot="1">
      <c r="A31" s="657" t="s">
        <v>500</v>
      </c>
      <c r="B31" s="669">
        <f>B30</f>
        <v>10452.11</v>
      </c>
      <c r="C31" s="669">
        <f>B31/18.27</f>
        <v>572.0914066776136</v>
      </c>
      <c r="D31" s="669">
        <f>D30</f>
        <v>11826.42</v>
      </c>
      <c r="E31" s="669">
        <f>D31/18.76</f>
        <v>630.4061833688698</v>
      </c>
      <c r="F31" s="659">
        <v>156601</v>
      </c>
      <c r="G31" s="659">
        <v>156601</v>
      </c>
      <c r="H31" s="660">
        <f>(G31/$G$7)*100</f>
        <v>10.458941569886456</v>
      </c>
      <c r="I31" s="661">
        <f>(G31/F31)*100</f>
        <v>100</v>
      </c>
      <c r="J31" s="662">
        <f>J7</f>
        <v>498.52</v>
      </c>
      <c r="K31" s="663">
        <f>(J31/C31-1)*100</f>
        <v>-12.860078969700862</v>
      </c>
      <c r="L31" s="664">
        <f>(J31/E31-1)*100</f>
        <v>-20.920826420844175</v>
      </c>
      <c r="M31" s="4"/>
    </row>
    <row r="32" spans="1:13" ht="15" customHeight="1" thickBot="1">
      <c r="A32" s="562" t="s">
        <v>376</v>
      </c>
      <c r="B32" s="563">
        <f>(B36+B38)/2</f>
        <v>7677.397935527594</v>
      </c>
      <c r="C32" s="563">
        <f>(C36+C38)/2</f>
        <v>300.3138605293366</v>
      </c>
      <c r="D32" s="563">
        <f>(D36+D38)/2</f>
        <v>9095.872100645038</v>
      </c>
      <c r="E32" s="563">
        <f>(E36+E38)/2</f>
        <v>371.7761595671402</v>
      </c>
      <c r="F32" s="564">
        <f>F36+F38</f>
        <v>361358</v>
      </c>
      <c r="G32" s="541">
        <v>432852</v>
      </c>
      <c r="H32" s="565">
        <f>(G32/$G$32)*100</f>
        <v>100</v>
      </c>
      <c r="I32" s="566">
        <f>(F32/G32)*100</f>
        <v>83.48303808230064</v>
      </c>
      <c r="J32" s="563">
        <f>'8.Cotações'!I15</f>
        <v>409.99</v>
      </c>
      <c r="K32" s="555">
        <f>(J32/C32-1)*100</f>
        <v>36.52050533976254</v>
      </c>
      <c r="L32" s="556">
        <f>(J32/E32-1)*100</f>
        <v>10.278722680161167</v>
      </c>
      <c r="M32" s="4"/>
    </row>
    <row r="33" spans="1:13" ht="12.75" customHeight="1">
      <c r="A33" s="570" t="s">
        <v>368</v>
      </c>
      <c r="B33" s="671">
        <v>3960.720400618043</v>
      </c>
      <c r="C33" s="671">
        <f>B33/25</f>
        <v>158.42881602472173</v>
      </c>
      <c r="D33" s="671">
        <v>4744.453725433623</v>
      </c>
      <c r="E33" s="672">
        <f>D33/25</f>
        <v>189.7781490173449</v>
      </c>
      <c r="F33" s="543"/>
      <c r="G33" s="543"/>
      <c r="H33" s="673"/>
      <c r="I33" s="547"/>
      <c r="J33" s="544"/>
      <c r="K33" s="544"/>
      <c r="L33" s="674"/>
      <c r="M33" s="4"/>
    </row>
    <row r="34" spans="1:13" ht="12.75" customHeight="1">
      <c r="A34" s="570" t="s">
        <v>369</v>
      </c>
      <c r="B34" s="671">
        <v>3449.848341595043</v>
      </c>
      <c r="C34" s="671">
        <f>B34/20</f>
        <v>172.49241707975216</v>
      </c>
      <c r="D34" s="671">
        <v>4081.8132032870703</v>
      </c>
      <c r="E34" s="672">
        <f>D34/20</f>
        <v>204.09066016435352</v>
      </c>
      <c r="F34" s="543"/>
      <c r="G34" s="543"/>
      <c r="H34" s="673"/>
      <c r="I34" s="547"/>
      <c r="J34" s="545"/>
      <c r="K34" s="545"/>
      <c r="L34" s="546"/>
      <c r="M34" s="4"/>
    </row>
    <row r="35" spans="1:13" ht="12.75" customHeight="1">
      <c r="A35" s="554" t="s">
        <v>370</v>
      </c>
      <c r="B35" s="675">
        <v>3937.188936206844</v>
      </c>
      <c r="C35" s="675">
        <f>B35/60</f>
        <v>65.6198156034474</v>
      </c>
      <c r="D35" s="676">
        <v>6462.79</v>
      </c>
      <c r="E35" s="677">
        <f>D35/60</f>
        <v>107.71316666666667</v>
      </c>
      <c r="F35" s="552"/>
      <c r="G35" s="548"/>
      <c r="H35" s="678"/>
      <c r="I35" s="550"/>
      <c r="J35" s="549"/>
      <c r="K35" s="549"/>
      <c r="L35" s="551"/>
      <c r="M35" s="4"/>
    </row>
    <row r="36" spans="1:13" ht="15" customHeight="1" thickBot="1">
      <c r="A36" s="657" t="s">
        <v>379</v>
      </c>
      <c r="B36" s="669">
        <f>(SUM(B33:B35))/3</f>
        <v>3782.585892806643</v>
      </c>
      <c r="C36" s="669">
        <f>B36/21.18</f>
        <v>178.59234621372252</v>
      </c>
      <c r="D36" s="669">
        <f>(SUM(D33:D35))/3</f>
        <v>5096.3523095735645</v>
      </c>
      <c r="E36" s="669">
        <f>D36/19.51</f>
        <v>261.2174428279633</v>
      </c>
      <c r="F36" s="679">
        <v>87657</v>
      </c>
      <c r="G36" s="679">
        <v>87657</v>
      </c>
      <c r="H36" s="660">
        <f>(G36/$G$32)*100</f>
        <v>20.251032685536856</v>
      </c>
      <c r="I36" s="661">
        <f>(F36/G36)*100</f>
        <v>100</v>
      </c>
      <c r="J36" s="662">
        <f>J32</f>
        <v>409.99</v>
      </c>
      <c r="K36" s="663">
        <f>(J36/C36-1)*100</f>
        <v>129.56750873823145</v>
      </c>
      <c r="L36" s="664">
        <f>(J36/E36-1)*100</f>
        <v>56.95353095926971</v>
      </c>
      <c r="M36" s="4"/>
    </row>
    <row r="37" spans="1:13" ht="12.75">
      <c r="A37" s="626" t="s">
        <v>371</v>
      </c>
      <c r="B37" s="627">
        <v>11572.209978248546</v>
      </c>
      <c r="C37" s="627">
        <f>B37/60</f>
        <v>192.87016630414243</v>
      </c>
      <c r="D37" s="627">
        <v>13095.391891716512</v>
      </c>
      <c r="E37" s="627">
        <f>D37/60</f>
        <v>218.25653152860852</v>
      </c>
      <c r="F37" s="649"/>
      <c r="G37" s="670"/>
      <c r="H37" s="629"/>
      <c r="I37" s="605"/>
      <c r="J37" s="630"/>
      <c r="K37" s="630"/>
      <c r="L37" s="631"/>
      <c r="M37" s="4"/>
    </row>
    <row r="38" spans="1:13" ht="15" customHeight="1" thickBot="1">
      <c r="A38" s="618" t="s">
        <v>380</v>
      </c>
      <c r="B38" s="632">
        <f>B37</f>
        <v>11572.209978248546</v>
      </c>
      <c r="C38" s="632">
        <f>B38/27.42</f>
        <v>422.0353748449506</v>
      </c>
      <c r="D38" s="632">
        <f>D37</f>
        <v>13095.391891716512</v>
      </c>
      <c r="E38" s="632">
        <f>D38/27.15</f>
        <v>482.3348763063172</v>
      </c>
      <c r="F38" s="680">
        <v>273701</v>
      </c>
      <c r="G38" s="681">
        <v>273701</v>
      </c>
      <c r="H38" s="633">
        <f>(G38/$G$32)*100</f>
        <v>63.23200539676379</v>
      </c>
      <c r="I38" s="634">
        <f>(F38/G38)*100</f>
        <v>100</v>
      </c>
      <c r="J38" s="635">
        <f>J32</f>
        <v>409.99</v>
      </c>
      <c r="K38" s="636">
        <f>(J38/C38-1)*100</f>
        <v>-2.8541149777731034</v>
      </c>
      <c r="L38" s="637">
        <f>(J38/E38-1)*100</f>
        <v>-14.998889746544686</v>
      </c>
      <c r="M38" s="4"/>
    </row>
    <row r="39" spans="1:8" ht="12.75">
      <c r="A39" t="s">
        <v>372</v>
      </c>
      <c r="B39" s="557"/>
      <c r="C39" s="557"/>
      <c r="D39" s="571"/>
      <c r="E39" s="571"/>
      <c r="G39" s="558"/>
      <c r="H39" s="559"/>
    </row>
    <row r="40" spans="1:8" ht="12.75">
      <c r="A40" s="540" t="s">
        <v>501</v>
      </c>
      <c r="B40" s="557"/>
      <c r="C40" s="557"/>
      <c r="D40" s="571"/>
      <c r="E40" s="571"/>
      <c r="G40" s="558"/>
      <c r="H40" s="559"/>
    </row>
    <row r="41" spans="1:8" ht="12.75">
      <c r="A41" s="540" t="s">
        <v>502</v>
      </c>
      <c r="B41" s="557"/>
      <c r="C41" s="557"/>
      <c r="D41" s="571"/>
      <c r="E41" s="571"/>
      <c r="G41" s="558"/>
      <c r="H41" s="559"/>
    </row>
    <row r="42" spans="1:5" ht="12.75">
      <c r="A42" s="540" t="s">
        <v>373</v>
      </c>
      <c r="B42" s="560"/>
      <c r="C42" s="560"/>
      <c r="D42" s="560"/>
      <c r="E42" s="560"/>
    </row>
    <row r="43" spans="2:5" ht="12.75">
      <c r="B43" s="561"/>
      <c r="C43" s="560"/>
      <c r="D43" s="560"/>
      <c r="E43" s="560"/>
    </row>
  </sheetData>
  <sheetProtection/>
  <mergeCells count="15">
    <mergeCell ref="A1:L1"/>
    <mergeCell ref="D5:E5"/>
    <mergeCell ref="K5:K6"/>
    <mergeCell ref="L5:L6"/>
    <mergeCell ref="A2:L2"/>
    <mergeCell ref="A4:A6"/>
    <mergeCell ref="B4:E4"/>
    <mergeCell ref="F4:F6"/>
    <mergeCell ref="G4:G6"/>
    <mergeCell ref="H4:H6"/>
    <mergeCell ref="I4:I6"/>
    <mergeCell ref="J4:J6"/>
    <mergeCell ref="K4:L4"/>
    <mergeCell ref="B5:C5"/>
    <mergeCell ref="A3:L3"/>
  </mergeCells>
  <printOptions horizontalCentered="1"/>
  <pageMargins left="0.5118110236220472" right="0.5118110236220472" top="0.3937007874015748" bottom="0.3937007874015748" header="0.31496062992125984" footer="0.31496062992125984"/>
  <pageSetup horizontalDpi="600" verticalDpi="600" orientation="landscape" paperSize="9" scale="90" r:id="rId1"/>
</worksheet>
</file>

<file path=xl/worksheets/sheet25.xml><?xml version="1.0" encoding="utf-8"?>
<worksheet xmlns="http://schemas.openxmlformats.org/spreadsheetml/2006/main" xmlns:r="http://schemas.openxmlformats.org/officeDocument/2006/relationships">
  <dimension ref="A1:L25"/>
  <sheetViews>
    <sheetView zoomScalePageLayoutView="0" workbookViewId="0" topLeftCell="A1">
      <selection activeCell="M21" sqref="M21"/>
    </sheetView>
  </sheetViews>
  <sheetFormatPr defaultColWidth="9.140625" defaultRowHeight="12.75"/>
  <cols>
    <col min="1" max="1" width="2.7109375" style="0" customWidth="1"/>
    <col min="2" max="2" width="9.57421875" style="0" customWidth="1"/>
    <col min="3" max="3" width="36.421875" style="0" customWidth="1"/>
    <col min="4" max="4" width="15.8515625" style="0" customWidth="1"/>
    <col min="5" max="5" width="7.7109375" style="0" customWidth="1"/>
    <col min="6" max="6" width="10.7109375" style="0" customWidth="1"/>
    <col min="7" max="7" width="12.7109375" style="0" customWidth="1"/>
    <col min="8" max="8" width="7.7109375" style="0" customWidth="1"/>
    <col min="9" max="9" width="10.7109375" style="0" customWidth="1"/>
    <col min="10" max="10" width="12.7109375" style="0" customWidth="1"/>
    <col min="11" max="11" width="8.8515625" style="0" customWidth="1"/>
    <col min="12" max="12" width="2.7109375" style="0" customWidth="1"/>
  </cols>
  <sheetData>
    <row r="1" spans="1:12" ht="13.5" customHeight="1">
      <c r="A1" s="1489" t="s">
        <v>425</v>
      </c>
      <c r="B1" s="1489"/>
      <c r="C1" s="1489"/>
      <c r="D1" s="1489"/>
      <c r="E1" s="1489"/>
      <c r="F1" s="1489"/>
      <c r="G1" s="1489"/>
      <c r="H1" s="1489"/>
      <c r="I1" s="1489"/>
      <c r="J1" s="1489"/>
      <c r="K1" s="1489"/>
      <c r="L1" s="1489"/>
    </row>
    <row r="2" spans="1:12" ht="27" customHeight="1">
      <c r="A2" s="279"/>
      <c r="B2" s="280"/>
      <c r="C2" s="1334"/>
      <c r="D2" s="1334"/>
      <c r="E2" s="1334"/>
      <c r="F2" s="1334"/>
      <c r="G2" s="1334"/>
      <c r="H2" s="1334"/>
      <c r="I2" s="1334"/>
      <c r="J2" s="1334"/>
      <c r="K2" s="281"/>
      <c r="L2" s="279"/>
    </row>
    <row r="3" spans="1:12" ht="14.25" customHeight="1">
      <c r="A3" s="279"/>
      <c r="B3" s="172"/>
      <c r="C3" s="1371" t="s">
        <v>255</v>
      </c>
      <c r="D3" s="1371"/>
      <c r="E3" s="1371"/>
      <c r="F3" s="1371"/>
      <c r="G3" s="1371"/>
      <c r="H3" s="1371"/>
      <c r="I3" s="1371"/>
      <c r="J3" s="1371"/>
      <c r="K3" s="130"/>
      <c r="L3" s="279"/>
    </row>
    <row r="4" spans="1:12" ht="16.5" thickBot="1">
      <c r="A4" s="279"/>
      <c r="B4" s="172"/>
      <c r="C4" s="1371"/>
      <c r="D4" s="1371"/>
      <c r="E4" s="1371"/>
      <c r="F4" s="1371"/>
      <c r="G4" s="1371"/>
      <c r="H4" s="1371"/>
      <c r="I4" s="1371"/>
      <c r="J4" s="1371"/>
      <c r="K4" s="130"/>
      <c r="L4" s="279"/>
    </row>
    <row r="5" spans="1:12" ht="13.5" thickBot="1">
      <c r="A5" s="279"/>
      <c r="B5" s="172"/>
      <c r="C5" s="1492" t="s">
        <v>223</v>
      </c>
      <c r="D5" s="1494" t="s">
        <v>224</v>
      </c>
      <c r="E5" s="1496" t="s">
        <v>225</v>
      </c>
      <c r="F5" s="1490"/>
      <c r="G5" s="1497"/>
      <c r="H5" s="1490" t="s">
        <v>47</v>
      </c>
      <c r="I5" s="1490"/>
      <c r="J5" s="1490"/>
      <c r="K5" s="130"/>
      <c r="L5" s="279"/>
    </row>
    <row r="6" spans="1:12" ht="24.75" customHeight="1" thickBot="1">
      <c r="A6" s="279"/>
      <c r="B6" s="172"/>
      <c r="C6" s="1493"/>
      <c r="D6" s="1495"/>
      <c r="E6" s="182" t="s">
        <v>226</v>
      </c>
      <c r="F6" s="182" t="s">
        <v>227</v>
      </c>
      <c r="G6" s="182" t="s">
        <v>251</v>
      </c>
      <c r="H6" s="182" t="s">
        <v>226</v>
      </c>
      <c r="I6" s="182" t="s">
        <v>227</v>
      </c>
      <c r="J6" s="183" t="s">
        <v>251</v>
      </c>
      <c r="K6" s="130"/>
      <c r="L6" s="279"/>
    </row>
    <row r="7" spans="1:12" ht="26.25" customHeight="1">
      <c r="A7" s="279"/>
      <c r="B7" s="172"/>
      <c r="C7" s="184" t="s">
        <v>252</v>
      </c>
      <c r="D7" s="185" t="s">
        <v>228</v>
      </c>
      <c r="E7" s="186" t="s">
        <v>253</v>
      </c>
      <c r="F7" s="185" t="s">
        <v>229</v>
      </c>
      <c r="G7" s="310">
        <v>64</v>
      </c>
      <c r="H7" s="186" t="s">
        <v>259</v>
      </c>
      <c r="I7" s="186" t="s">
        <v>230</v>
      </c>
      <c r="J7" s="311">
        <v>113</v>
      </c>
      <c r="K7" s="130"/>
      <c r="L7" s="279"/>
    </row>
    <row r="8" spans="1:12" ht="19.5" customHeight="1">
      <c r="A8" s="279"/>
      <c r="B8" s="172"/>
      <c r="C8" s="187" t="s">
        <v>231</v>
      </c>
      <c r="D8" s="188" t="s">
        <v>232</v>
      </c>
      <c r="E8" s="189" t="s">
        <v>253</v>
      </c>
      <c r="F8" s="188" t="s">
        <v>229</v>
      </c>
      <c r="G8" s="312">
        <v>89</v>
      </c>
      <c r="H8" s="189" t="s">
        <v>259</v>
      </c>
      <c r="I8" s="188" t="s">
        <v>233</v>
      </c>
      <c r="J8" s="313">
        <v>157</v>
      </c>
      <c r="K8" s="130"/>
      <c r="L8" s="279"/>
    </row>
    <row r="9" spans="1:12" ht="19.5" customHeight="1">
      <c r="A9" s="279"/>
      <c r="B9" s="172"/>
      <c r="C9" s="187" t="s">
        <v>234</v>
      </c>
      <c r="D9" s="188" t="s">
        <v>235</v>
      </c>
      <c r="E9" s="189" t="s">
        <v>253</v>
      </c>
      <c r="F9" s="188" t="s">
        <v>229</v>
      </c>
      <c r="G9" s="312">
        <v>89</v>
      </c>
      <c r="H9" s="189" t="s">
        <v>259</v>
      </c>
      <c r="I9" s="188" t="s">
        <v>233</v>
      </c>
      <c r="J9" s="313">
        <v>157</v>
      </c>
      <c r="K9" s="130"/>
      <c r="L9" s="279"/>
    </row>
    <row r="10" spans="1:12" ht="19.5" customHeight="1">
      <c r="A10" s="279"/>
      <c r="B10" s="172"/>
      <c r="C10" s="187" t="s">
        <v>236</v>
      </c>
      <c r="D10" s="188" t="s">
        <v>237</v>
      </c>
      <c r="E10" s="189" t="s">
        <v>253</v>
      </c>
      <c r="F10" s="188" t="s">
        <v>229</v>
      </c>
      <c r="G10" s="312">
        <v>89</v>
      </c>
      <c r="H10" s="189" t="s">
        <v>259</v>
      </c>
      <c r="I10" s="188" t="s">
        <v>233</v>
      </c>
      <c r="J10" s="313">
        <v>157</v>
      </c>
      <c r="K10" s="130"/>
      <c r="L10" s="279"/>
    </row>
    <row r="11" spans="1:12" ht="19.5" customHeight="1">
      <c r="A11" s="279"/>
      <c r="B11" s="172"/>
      <c r="C11" s="187" t="s">
        <v>238</v>
      </c>
      <c r="D11" s="188" t="s">
        <v>239</v>
      </c>
      <c r="E11" s="189" t="s">
        <v>253</v>
      </c>
      <c r="F11" s="188" t="s">
        <v>229</v>
      </c>
      <c r="G11" s="312">
        <v>89</v>
      </c>
      <c r="H11" s="189" t="s">
        <v>259</v>
      </c>
      <c r="I11" s="188" t="s">
        <v>233</v>
      </c>
      <c r="J11" s="313">
        <v>157</v>
      </c>
      <c r="K11" s="130"/>
      <c r="L11" s="279"/>
    </row>
    <row r="12" spans="1:12" ht="19.5" customHeight="1">
      <c r="A12" s="279"/>
      <c r="B12" s="172"/>
      <c r="C12" s="187" t="s">
        <v>260</v>
      </c>
      <c r="D12" s="188" t="s">
        <v>240</v>
      </c>
      <c r="E12" s="189" t="s">
        <v>253</v>
      </c>
      <c r="F12" s="188" t="s">
        <v>229</v>
      </c>
      <c r="G12" s="312">
        <v>89</v>
      </c>
      <c r="H12" s="189" t="s">
        <v>259</v>
      </c>
      <c r="I12" s="188" t="s">
        <v>233</v>
      </c>
      <c r="J12" s="313">
        <v>157</v>
      </c>
      <c r="K12" s="130"/>
      <c r="L12" s="279"/>
    </row>
    <row r="13" spans="1:12" ht="19.5" customHeight="1">
      <c r="A13" s="279"/>
      <c r="B13" s="172"/>
      <c r="C13" s="187" t="s">
        <v>241</v>
      </c>
      <c r="D13" s="188" t="s">
        <v>242</v>
      </c>
      <c r="E13" s="189" t="s">
        <v>253</v>
      </c>
      <c r="F13" s="188" t="s">
        <v>229</v>
      </c>
      <c r="G13" s="312">
        <v>124.4</v>
      </c>
      <c r="H13" s="189" t="s">
        <v>259</v>
      </c>
      <c r="I13" s="188" t="s">
        <v>233</v>
      </c>
      <c r="J13" s="313">
        <v>211.75</v>
      </c>
      <c r="K13" s="130"/>
      <c r="L13" s="279"/>
    </row>
    <row r="14" spans="1:12" ht="32.25" customHeight="1">
      <c r="A14" s="279"/>
      <c r="B14" s="172"/>
      <c r="C14" s="190" t="s">
        <v>254</v>
      </c>
      <c r="D14" s="189" t="s">
        <v>243</v>
      </c>
      <c r="E14" s="189" t="s">
        <v>253</v>
      </c>
      <c r="F14" s="188" t="s">
        <v>229</v>
      </c>
      <c r="G14" s="312">
        <v>156.57</v>
      </c>
      <c r="H14" s="189" t="s">
        <v>259</v>
      </c>
      <c r="I14" s="188" t="s">
        <v>233</v>
      </c>
      <c r="J14" s="313">
        <v>261.69</v>
      </c>
      <c r="K14" s="130"/>
      <c r="L14" s="279"/>
    </row>
    <row r="15" spans="1:12" ht="22.5" customHeight="1">
      <c r="A15" s="279"/>
      <c r="B15" s="172"/>
      <c r="C15" s="187" t="s">
        <v>244</v>
      </c>
      <c r="D15" s="188" t="s">
        <v>243</v>
      </c>
      <c r="E15" s="189" t="s">
        <v>253</v>
      </c>
      <c r="F15" s="188" t="s">
        <v>229</v>
      </c>
      <c r="G15" s="312">
        <v>156.57</v>
      </c>
      <c r="H15" s="189" t="s">
        <v>259</v>
      </c>
      <c r="I15" s="189" t="s">
        <v>229</v>
      </c>
      <c r="J15" s="313">
        <v>261.69</v>
      </c>
      <c r="K15" s="130"/>
      <c r="L15" s="279"/>
    </row>
    <row r="16" spans="1:12" ht="25.5" customHeight="1">
      <c r="A16" s="279"/>
      <c r="B16" s="172"/>
      <c r="C16" s="187" t="s">
        <v>245</v>
      </c>
      <c r="D16" s="188" t="s">
        <v>246</v>
      </c>
      <c r="E16" s="189" t="s">
        <v>253</v>
      </c>
      <c r="F16" s="188" t="s">
        <v>229</v>
      </c>
      <c r="G16" s="312">
        <v>156.57</v>
      </c>
      <c r="H16" s="189" t="s">
        <v>259</v>
      </c>
      <c r="I16" s="189" t="s">
        <v>229</v>
      </c>
      <c r="J16" s="313">
        <v>261.69</v>
      </c>
      <c r="K16" s="130"/>
      <c r="L16" s="279"/>
    </row>
    <row r="17" spans="1:12" ht="22.5" customHeight="1">
      <c r="A17" s="279"/>
      <c r="B17" s="172"/>
      <c r="C17" s="187" t="s">
        <v>247</v>
      </c>
      <c r="D17" s="188" t="s">
        <v>248</v>
      </c>
      <c r="E17" s="189" t="s">
        <v>253</v>
      </c>
      <c r="F17" s="188" t="s">
        <v>229</v>
      </c>
      <c r="G17" s="312">
        <v>156.57</v>
      </c>
      <c r="H17" s="189" t="s">
        <v>259</v>
      </c>
      <c r="I17" s="189" t="s">
        <v>229</v>
      </c>
      <c r="J17" s="313">
        <v>307</v>
      </c>
      <c r="K17" s="130"/>
      <c r="L17" s="279"/>
    </row>
    <row r="18" spans="1:12" ht="22.5" customHeight="1">
      <c r="A18" s="279"/>
      <c r="B18" s="172"/>
      <c r="C18" s="187" t="s">
        <v>249</v>
      </c>
      <c r="D18" s="188" t="s">
        <v>250</v>
      </c>
      <c r="E18" s="189" t="s">
        <v>253</v>
      </c>
      <c r="F18" s="188" t="s">
        <v>229</v>
      </c>
      <c r="G18" s="312">
        <v>180.8</v>
      </c>
      <c r="H18" s="189" t="s">
        <v>259</v>
      </c>
      <c r="I18" s="189" t="s">
        <v>229</v>
      </c>
      <c r="J18" s="313">
        <v>307</v>
      </c>
      <c r="K18" s="130"/>
      <c r="L18" s="279"/>
    </row>
    <row r="19" spans="1:12" ht="22.5" customHeight="1">
      <c r="A19" s="279"/>
      <c r="B19" s="172"/>
      <c r="C19" s="190" t="s">
        <v>304</v>
      </c>
      <c r="D19" s="188" t="s">
        <v>305</v>
      </c>
      <c r="E19" s="189" t="s">
        <v>253</v>
      </c>
      <c r="F19" s="188" t="s">
        <v>229</v>
      </c>
      <c r="G19" s="312">
        <v>193.54</v>
      </c>
      <c r="H19" s="189" t="s">
        <v>259</v>
      </c>
      <c r="I19" s="189" t="s">
        <v>229</v>
      </c>
      <c r="J19" s="313">
        <v>307</v>
      </c>
      <c r="K19" s="130"/>
      <c r="L19" s="279"/>
    </row>
    <row r="20" spans="1:12" ht="22.5" customHeight="1" thickBot="1">
      <c r="A20" s="279"/>
      <c r="B20" s="172"/>
      <c r="C20" s="1162" t="s">
        <v>513</v>
      </c>
      <c r="D20" s="1163" t="s">
        <v>512</v>
      </c>
      <c r="E20" s="1164" t="s">
        <v>253</v>
      </c>
      <c r="F20" s="1164" t="s">
        <v>229</v>
      </c>
      <c r="G20" s="1165">
        <v>307</v>
      </c>
      <c r="H20" s="1166" t="s">
        <v>259</v>
      </c>
      <c r="I20" s="1166" t="s">
        <v>229</v>
      </c>
      <c r="J20" s="1167">
        <v>330.24</v>
      </c>
      <c r="K20" s="130"/>
      <c r="L20" s="279"/>
    </row>
    <row r="21" spans="1:12" ht="12" customHeight="1">
      <c r="A21" s="279"/>
      <c r="B21" s="172"/>
      <c r="C21" s="1491" t="s">
        <v>256</v>
      </c>
      <c r="D21" s="1491"/>
      <c r="E21" s="1491"/>
      <c r="F21" s="1491"/>
      <c r="G21" s="179"/>
      <c r="H21" s="179"/>
      <c r="I21" s="179"/>
      <c r="J21" s="179"/>
      <c r="K21" s="130"/>
      <c r="L21" s="279"/>
    </row>
    <row r="22" spans="1:12" ht="12" customHeight="1">
      <c r="A22" s="279"/>
      <c r="B22" s="172"/>
      <c r="C22" s="181" t="s">
        <v>257</v>
      </c>
      <c r="D22" s="179"/>
      <c r="E22" s="179"/>
      <c r="F22" s="179"/>
      <c r="G22" s="179"/>
      <c r="H22" s="179"/>
      <c r="I22" s="179"/>
      <c r="J22" s="179"/>
      <c r="K22" s="130"/>
      <c r="L22" s="279"/>
    </row>
    <row r="23" spans="1:12" ht="12" customHeight="1">
      <c r="A23" s="279"/>
      <c r="B23" s="172"/>
      <c r="C23" s="133" t="s">
        <v>258</v>
      </c>
      <c r="D23" s="179"/>
      <c r="E23" s="179"/>
      <c r="F23" s="179"/>
      <c r="G23" s="179"/>
      <c r="H23" s="179"/>
      <c r="I23" s="179"/>
      <c r="J23" s="179"/>
      <c r="K23" s="130"/>
      <c r="L23" s="279"/>
    </row>
    <row r="24" spans="1:12" ht="6" customHeight="1">
      <c r="A24" s="279"/>
      <c r="B24" s="111"/>
      <c r="C24" s="112"/>
      <c r="D24" s="113"/>
      <c r="E24" s="113"/>
      <c r="F24" s="113"/>
      <c r="G24" s="113"/>
      <c r="H24" s="113"/>
      <c r="I24" s="113"/>
      <c r="J24" s="113"/>
      <c r="K24" s="131"/>
      <c r="L24" s="279"/>
    </row>
    <row r="25" spans="1:12" ht="12.75">
      <c r="A25" s="279"/>
      <c r="B25" s="279"/>
      <c r="C25" s="279"/>
      <c r="D25" s="279"/>
      <c r="E25" s="279"/>
      <c r="F25" s="279"/>
      <c r="G25" s="279"/>
      <c r="H25" s="279"/>
      <c r="I25" s="279"/>
      <c r="J25" s="279"/>
      <c r="K25" s="279"/>
      <c r="L25" s="279"/>
    </row>
  </sheetData>
  <sheetProtection/>
  <mergeCells count="9">
    <mergeCell ref="A1:L1"/>
    <mergeCell ref="H5:J5"/>
    <mergeCell ref="C21:F21"/>
    <mergeCell ref="C2:J2"/>
    <mergeCell ref="C4:J4"/>
    <mergeCell ref="C5:C6"/>
    <mergeCell ref="D5:D6"/>
    <mergeCell ref="E5:G5"/>
    <mergeCell ref="C3:J3"/>
  </mergeCells>
  <printOptions horizontalCentered="1"/>
  <pageMargins left="0.5118110236220472" right="0.5118110236220472" top="0.7874015748031497" bottom="0.7874015748031497" header="0.31496062992125984" footer="0.31496062992125984"/>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R62"/>
  <sheetViews>
    <sheetView zoomScalePageLayoutView="0" workbookViewId="0" topLeftCell="A1">
      <selection activeCell="S33" sqref="S33"/>
    </sheetView>
  </sheetViews>
  <sheetFormatPr defaultColWidth="9.140625" defaultRowHeight="12.75"/>
  <cols>
    <col min="1" max="2" width="2.7109375" style="1" customWidth="1"/>
    <col min="3" max="3" width="8.7109375" style="1" customWidth="1"/>
    <col min="4" max="4" width="19.7109375" style="27" customWidth="1"/>
    <col min="5" max="6" width="10.7109375" style="27" customWidth="1"/>
    <col min="7" max="13" width="6.7109375" style="27" customWidth="1"/>
    <col min="14" max="15" width="7.7109375" style="27" bestFit="1" customWidth="1"/>
    <col min="16" max="16" width="6.28125" style="27" bestFit="1" customWidth="1"/>
    <col min="17" max="18" width="2.7109375" style="1" customWidth="1"/>
    <col min="19" max="16384" width="9.140625" style="1" customWidth="1"/>
  </cols>
  <sheetData>
    <row r="1" spans="1:18" ht="14.25" customHeight="1">
      <c r="A1" s="1498" t="s">
        <v>426</v>
      </c>
      <c r="B1" s="1498"/>
      <c r="C1" s="1498"/>
      <c r="D1" s="1498"/>
      <c r="E1" s="1498"/>
      <c r="F1" s="1498"/>
      <c r="G1" s="1498"/>
      <c r="H1" s="1498"/>
      <c r="I1" s="1498"/>
      <c r="J1" s="1498"/>
      <c r="K1" s="1498"/>
      <c r="L1" s="1498"/>
      <c r="M1" s="1498"/>
      <c r="N1" s="1498"/>
      <c r="O1" s="1498"/>
      <c r="P1" s="1498"/>
      <c r="Q1" s="1498"/>
      <c r="R1" s="1498"/>
    </row>
    <row r="2" spans="1:18" ht="15.75">
      <c r="A2" s="431"/>
      <c r="B2" s="196"/>
      <c r="C2" s="1507" t="s">
        <v>386</v>
      </c>
      <c r="D2" s="1507"/>
      <c r="E2" s="1507"/>
      <c r="F2" s="1507"/>
      <c r="G2" s="1507"/>
      <c r="H2" s="1507"/>
      <c r="I2" s="1507"/>
      <c r="J2" s="1507"/>
      <c r="K2" s="1507"/>
      <c r="L2" s="1507"/>
      <c r="M2" s="1507"/>
      <c r="N2" s="1507"/>
      <c r="O2" s="1507"/>
      <c r="P2" s="1507"/>
      <c r="Q2" s="179"/>
      <c r="R2" s="57"/>
    </row>
    <row r="3" spans="1:18" ht="12.75" customHeight="1" thickBot="1">
      <c r="A3" s="431"/>
      <c r="B3" s="196"/>
      <c r="C3" s="1508" t="s">
        <v>428</v>
      </c>
      <c r="D3" s="1508"/>
      <c r="E3" s="1508"/>
      <c r="F3" s="1508"/>
      <c r="G3" s="1508"/>
      <c r="H3" s="1508"/>
      <c r="I3" s="1508"/>
      <c r="J3" s="1508"/>
      <c r="K3" s="1508"/>
      <c r="L3" s="1508"/>
      <c r="M3" s="1508"/>
      <c r="N3" s="1508"/>
      <c r="O3" s="1508"/>
      <c r="P3" s="1508"/>
      <c r="Q3" s="179"/>
      <c r="R3" s="57"/>
    </row>
    <row r="4" spans="1:18" ht="10.5" customHeight="1" thickBot="1">
      <c r="A4" s="431"/>
      <c r="B4" s="196"/>
      <c r="C4" s="1506" t="s">
        <v>396</v>
      </c>
      <c r="D4" s="1506"/>
      <c r="E4" s="1510" t="s">
        <v>395</v>
      </c>
      <c r="F4" s="1511"/>
      <c r="G4" s="1512"/>
      <c r="H4" s="1503" t="s">
        <v>440</v>
      </c>
      <c r="I4" s="1504"/>
      <c r="J4" s="1504"/>
      <c r="K4" s="1504"/>
      <c r="L4" s="1504"/>
      <c r="M4" s="1505"/>
      <c r="N4" s="1506" t="s">
        <v>333</v>
      </c>
      <c r="O4" s="1506"/>
      <c r="P4" s="1506"/>
      <c r="Q4" s="125"/>
      <c r="R4" s="57"/>
    </row>
    <row r="5" spans="1:18" ht="13.5" customHeight="1">
      <c r="A5" s="431"/>
      <c r="B5" s="196"/>
      <c r="C5" s="1506"/>
      <c r="D5" s="1506"/>
      <c r="E5" s="1513" t="s">
        <v>393</v>
      </c>
      <c r="F5" s="1514"/>
      <c r="G5" s="1515"/>
      <c r="H5" s="1514" t="s">
        <v>448</v>
      </c>
      <c r="I5" s="1514"/>
      <c r="J5" s="1515"/>
      <c r="K5" s="1513" t="s">
        <v>447</v>
      </c>
      <c r="L5" s="1514"/>
      <c r="M5" s="1515"/>
      <c r="N5" s="1513" t="s">
        <v>394</v>
      </c>
      <c r="O5" s="1514"/>
      <c r="P5" s="1514"/>
      <c r="Q5" s="125"/>
      <c r="R5" s="57"/>
    </row>
    <row r="6" spans="1:18" ht="10.5" customHeight="1" thickBot="1">
      <c r="A6" s="431"/>
      <c r="B6" s="196"/>
      <c r="C6" s="1509"/>
      <c r="D6" s="1509"/>
      <c r="E6" s="879">
        <v>2015</v>
      </c>
      <c r="F6" s="880">
        <v>2016</v>
      </c>
      <c r="G6" s="881" t="s">
        <v>12</v>
      </c>
      <c r="H6" s="879">
        <v>2015</v>
      </c>
      <c r="I6" s="880">
        <v>2016</v>
      </c>
      <c r="J6" s="881" t="s">
        <v>12</v>
      </c>
      <c r="K6" s="879">
        <v>2015</v>
      </c>
      <c r="L6" s="880">
        <v>2016</v>
      </c>
      <c r="M6" s="881" t="s">
        <v>12</v>
      </c>
      <c r="N6" s="882">
        <v>2015</v>
      </c>
      <c r="O6" s="880">
        <v>2016</v>
      </c>
      <c r="P6" s="883" t="s">
        <v>12</v>
      </c>
      <c r="Q6" s="125"/>
      <c r="R6" s="57"/>
    </row>
    <row r="7" spans="1:18" ht="13.5" customHeight="1">
      <c r="A7" s="431"/>
      <c r="B7" s="196"/>
      <c r="C7" s="872" t="s">
        <v>3</v>
      </c>
      <c r="D7" s="1007" t="s">
        <v>48</v>
      </c>
      <c r="E7" s="947">
        <v>87657</v>
      </c>
      <c r="F7" s="889">
        <v>87657</v>
      </c>
      <c r="G7" s="1124">
        <f>(F7/E7-1)*100</f>
        <v>0</v>
      </c>
      <c r="H7" s="944">
        <v>0</v>
      </c>
      <c r="I7" s="890">
        <v>0</v>
      </c>
      <c r="J7" s="895">
        <v>0</v>
      </c>
      <c r="K7" s="892">
        <f>N7*1000/E7</f>
        <v>19.66642709652395</v>
      </c>
      <c r="L7" s="893">
        <f>O7*1000/F7</f>
        <v>18.559841199219687</v>
      </c>
      <c r="M7" s="891">
        <f>(L7/K7-1)*100</f>
        <v>-5.626776495156327</v>
      </c>
      <c r="N7" s="953">
        <v>1723.9</v>
      </c>
      <c r="O7" s="894">
        <v>1626.9</v>
      </c>
      <c r="P7" s="895">
        <f aca="true" t="shared" si="0" ref="P7:P35">(O7/N7-1)*100</f>
        <v>-5.626776495156327</v>
      </c>
      <c r="Q7" s="125"/>
      <c r="R7" s="57"/>
    </row>
    <row r="8" spans="1:18" ht="13.5" customHeight="1">
      <c r="A8" s="431"/>
      <c r="B8" s="196"/>
      <c r="C8" s="875" t="s">
        <v>4</v>
      </c>
      <c r="D8" s="1008" t="s">
        <v>48</v>
      </c>
      <c r="E8" s="948">
        <v>1243</v>
      </c>
      <c r="F8" s="897">
        <v>667</v>
      </c>
      <c r="G8" s="1125">
        <f>(F8/E8-1)*100</f>
        <v>-46.33950120675785</v>
      </c>
      <c r="H8" s="945">
        <v>0</v>
      </c>
      <c r="I8" s="898">
        <v>0</v>
      </c>
      <c r="J8" s="914">
        <v>0</v>
      </c>
      <c r="K8" s="900">
        <f>N8*1000/E8</f>
        <v>13.35478680611424</v>
      </c>
      <c r="L8" s="915">
        <f>O8*1000/F8</f>
        <v>16.94152923538231</v>
      </c>
      <c r="M8" s="899">
        <f>(L8/K8-1)*100</f>
        <v>26.857354455302463</v>
      </c>
      <c r="N8" s="951">
        <v>16.6</v>
      </c>
      <c r="O8" s="912">
        <v>11.3</v>
      </c>
      <c r="P8" s="914">
        <f t="shared" si="0"/>
        <v>-31.92771084337349</v>
      </c>
      <c r="Q8" s="125"/>
      <c r="R8" s="57"/>
    </row>
    <row r="9" spans="1:18" ht="13.5" customHeight="1">
      <c r="A9" s="431"/>
      <c r="B9" s="196"/>
      <c r="C9" s="1516" t="s">
        <v>5</v>
      </c>
      <c r="D9" s="984" t="s">
        <v>383</v>
      </c>
      <c r="E9" s="993">
        <v>9129</v>
      </c>
      <c r="F9" s="994">
        <v>10000</v>
      </c>
      <c r="G9" s="1126">
        <f aca="true" t="shared" si="1" ref="G9:G35">(F9/E9-1)*100</f>
        <v>9.541023113155877</v>
      </c>
      <c r="H9" s="961">
        <f aca="true" t="shared" si="2" ref="H9:I30">N9*1000/E9</f>
        <v>37.002957607624055</v>
      </c>
      <c r="I9" s="963">
        <f t="shared" si="2"/>
        <v>34</v>
      </c>
      <c r="J9" s="942">
        <f>(I9/H9-1)*100</f>
        <v>-8.115452930728239</v>
      </c>
      <c r="K9" s="1000">
        <v>0</v>
      </c>
      <c r="L9" s="958">
        <v>0</v>
      </c>
      <c r="M9" s="952">
        <v>0</v>
      </c>
      <c r="N9" s="1003">
        <v>337.8</v>
      </c>
      <c r="O9" s="1005">
        <v>340</v>
      </c>
      <c r="P9" s="976">
        <f t="shared" si="0"/>
        <v>0.6512729425695696</v>
      </c>
      <c r="Q9" s="125"/>
      <c r="R9" s="57"/>
    </row>
    <row r="10" spans="1:18" ht="13.5" customHeight="1">
      <c r="A10" s="431"/>
      <c r="B10" s="196"/>
      <c r="C10" s="1517"/>
      <c r="D10" s="984" t="s">
        <v>384</v>
      </c>
      <c r="E10" s="988">
        <v>94321</v>
      </c>
      <c r="F10" s="978">
        <v>93173</v>
      </c>
      <c r="G10" s="1126">
        <f t="shared" si="1"/>
        <v>-1.2171202595392283</v>
      </c>
      <c r="H10" s="938">
        <f t="shared" si="2"/>
        <v>8.739305138834405</v>
      </c>
      <c r="I10" s="980">
        <f t="shared" si="2"/>
        <v>10.699451557854744</v>
      </c>
      <c r="J10" s="942">
        <f>(I10/H10-1)*100</f>
        <v>22.429087757905776</v>
      </c>
      <c r="K10" s="991">
        <v>0</v>
      </c>
      <c r="L10" s="959">
        <v>0</v>
      </c>
      <c r="M10" s="952">
        <v>0</v>
      </c>
      <c r="N10" s="909">
        <v>824.3</v>
      </c>
      <c r="O10" s="981">
        <v>996.9</v>
      </c>
      <c r="P10" s="976">
        <f t="shared" si="0"/>
        <v>20.93897852723523</v>
      </c>
      <c r="Q10" s="125"/>
      <c r="R10" s="57"/>
    </row>
    <row r="11" spans="1:18" ht="13.5" customHeight="1">
      <c r="A11" s="431"/>
      <c r="B11" s="196"/>
      <c r="C11" s="1517"/>
      <c r="D11" s="1012" t="s">
        <v>385</v>
      </c>
      <c r="E11" s="972">
        <v>35228</v>
      </c>
      <c r="F11" s="996">
        <v>38750.8</v>
      </c>
      <c r="G11" s="1127">
        <f t="shared" si="1"/>
        <v>10.000000000000009</v>
      </c>
      <c r="H11" s="904">
        <v>0</v>
      </c>
      <c r="I11" s="905">
        <v>0</v>
      </c>
      <c r="J11" s="971">
        <v>0</v>
      </c>
      <c r="K11" s="907">
        <f>N11*1000/E11</f>
        <v>33.59827410014761</v>
      </c>
      <c r="L11" s="922">
        <f>O11*1000/F11</f>
        <v>33.59930633690143</v>
      </c>
      <c r="M11" s="970">
        <f>(L11/K11-1)*100</f>
        <v>0.0030722910073777143</v>
      </c>
      <c r="N11" s="1004">
        <v>1183.6</v>
      </c>
      <c r="O11" s="1006">
        <v>1302</v>
      </c>
      <c r="P11" s="986">
        <f t="shared" si="0"/>
        <v>10.003379520108147</v>
      </c>
      <c r="Q11" s="125"/>
      <c r="R11" s="57"/>
    </row>
    <row r="12" spans="1:18" ht="13.5" customHeight="1">
      <c r="A12" s="431"/>
      <c r="B12" s="196"/>
      <c r="C12" s="1518"/>
      <c r="D12" s="943" t="s">
        <v>127</v>
      </c>
      <c r="E12" s="902">
        <f>E9+E10+E11</f>
        <v>138678</v>
      </c>
      <c r="F12" s="995">
        <f>F9+F10+F11</f>
        <v>141923.8</v>
      </c>
      <c r="G12" s="1128">
        <f>(F12/E12-1)*100</f>
        <v>2.3405298605402303</v>
      </c>
      <c r="H12" s="939">
        <f>SUM(N9+N10)*1000/SUM(E9+E10)</f>
        <v>11.233446109231513</v>
      </c>
      <c r="I12" s="999">
        <f>SUM(O9+O10)*1000/SUM(F9+F10)</f>
        <v>12.957847498861137</v>
      </c>
      <c r="J12" s="997">
        <f>(I12/H12-1)*100</f>
        <v>15.350600099577004</v>
      </c>
      <c r="K12" s="939">
        <f>N11*1000/E11</f>
        <v>33.59827410014761</v>
      </c>
      <c r="L12" s="999">
        <f>O11*1000/F11</f>
        <v>33.59930633690143</v>
      </c>
      <c r="M12" s="1001">
        <f>(L12/K12-1)*100</f>
        <v>0.0030722910073777143</v>
      </c>
      <c r="N12" s="902">
        <f>N9+N10+N11</f>
        <v>2345.7</v>
      </c>
      <c r="O12" s="995">
        <f>O9+O10+O11</f>
        <v>2638.9</v>
      </c>
      <c r="P12" s="997">
        <f>(O12/N12-1)*100</f>
        <v>12.499467110031137</v>
      </c>
      <c r="Q12" s="125"/>
      <c r="R12" s="57"/>
    </row>
    <row r="13" spans="1:18" ht="13.5" customHeight="1">
      <c r="A13" s="431"/>
      <c r="B13" s="196"/>
      <c r="C13" s="1516" t="s">
        <v>9</v>
      </c>
      <c r="D13" s="1009" t="s">
        <v>47</v>
      </c>
      <c r="E13" s="988">
        <v>111</v>
      </c>
      <c r="F13" s="978">
        <v>133</v>
      </c>
      <c r="G13" s="1126">
        <f t="shared" si="1"/>
        <v>19.819819819819816</v>
      </c>
      <c r="H13" s="938">
        <f t="shared" si="2"/>
        <v>15.315315315315315</v>
      </c>
      <c r="I13" s="980">
        <f t="shared" si="2"/>
        <v>21.804511278195488</v>
      </c>
      <c r="J13" s="942">
        <f aca="true" t="shared" si="3" ref="J13:J30">(I13/H13-1)*100</f>
        <v>42.37063246351171</v>
      </c>
      <c r="K13" s="991">
        <v>0</v>
      </c>
      <c r="L13" s="959">
        <v>0</v>
      </c>
      <c r="M13" s="952">
        <v>0</v>
      </c>
      <c r="N13" s="909">
        <v>1.7</v>
      </c>
      <c r="O13" s="981">
        <v>2.9</v>
      </c>
      <c r="P13" s="976">
        <f t="shared" si="0"/>
        <v>70.58823529411764</v>
      </c>
      <c r="Q13" s="125"/>
      <c r="R13" s="57"/>
    </row>
    <row r="14" spans="1:18" ht="13.5" customHeight="1">
      <c r="A14" s="431"/>
      <c r="B14" s="196"/>
      <c r="C14" s="1517"/>
      <c r="D14" s="1011" t="s">
        <v>48</v>
      </c>
      <c r="E14" s="972">
        <v>20078</v>
      </c>
      <c r="F14" s="996">
        <v>13639</v>
      </c>
      <c r="G14" s="1127">
        <f t="shared" si="1"/>
        <v>-32.06992728359398</v>
      </c>
      <c r="H14" s="904">
        <v>0</v>
      </c>
      <c r="I14" s="905">
        <v>0</v>
      </c>
      <c r="J14" s="971">
        <v>0</v>
      </c>
      <c r="K14" s="907">
        <f>N14*1000/E14</f>
        <v>6.28548660225122</v>
      </c>
      <c r="L14" s="922">
        <f>O14*1000/F14</f>
        <v>8.505022362343281</v>
      </c>
      <c r="M14" s="970">
        <f>(L14/K14-1)*100</f>
        <v>35.31207527030777</v>
      </c>
      <c r="N14" s="1004">
        <v>126.2</v>
      </c>
      <c r="O14" s="1006">
        <v>116</v>
      </c>
      <c r="P14" s="986">
        <f t="shared" si="0"/>
        <v>-8.082408874801905</v>
      </c>
      <c r="Q14" s="125"/>
      <c r="R14" s="57"/>
    </row>
    <row r="15" spans="1:18" ht="13.5" customHeight="1">
      <c r="A15" s="431"/>
      <c r="B15" s="196"/>
      <c r="C15" s="1518"/>
      <c r="D15" s="943" t="s">
        <v>127</v>
      </c>
      <c r="E15" s="940">
        <f>E13+E14</f>
        <v>20189</v>
      </c>
      <c r="F15" s="901">
        <f>F13+F14</f>
        <v>13772</v>
      </c>
      <c r="G15" s="1128">
        <f>(F15/E15-1)*100</f>
        <v>-31.784635197384713</v>
      </c>
      <c r="H15" s="939">
        <f>N13*1000/E13</f>
        <v>15.315315315315315</v>
      </c>
      <c r="I15" s="999">
        <f>O13*1000/F13</f>
        <v>21.804511278195488</v>
      </c>
      <c r="J15" s="997">
        <f>(I15/H15-1)*100</f>
        <v>42.37063246351171</v>
      </c>
      <c r="K15" s="939">
        <f>N14*1000/E14</f>
        <v>6.28548660225122</v>
      </c>
      <c r="L15" s="999">
        <f>O14*1000/F14</f>
        <v>8.505022362343281</v>
      </c>
      <c r="M15" s="1001">
        <f>(L15/K15-1)*100</f>
        <v>35.31207527030777</v>
      </c>
      <c r="N15" s="940">
        <f>N13+N14</f>
        <v>127.9</v>
      </c>
      <c r="O15" s="901">
        <f>O13+O14</f>
        <v>118.9</v>
      </c>
      <c r="P15" s="997">
        <f>(O15/N15-1)*100</f>
        <v>-7.036747458952308</v>
      </c>
      <c r="Q15" s="125"/>
      <c r="R15" s="57"/>
    </row>
    <row r="16" spans="1:18" ht="13.5" customHeight="1">
      <c r="A16" s="431"/>
      <c r="B16" s="196"/>
      <c r="C16" s="878" t="s">
        <v>10</v>
      </c>
      <c r="D16" s="1010" t="s">
        <v>47</v>
      </c>
      <c r="E16" s="948">
        <v>6175</v>
      </c>
      <c r="F16" s="896">
        <v>5782</v>
      </c>
      <c r="G16" s="1129">
        <f t="shared" si="1"/>
        <v>-6.364372469635626</v>
      </c>
      <c r="H16" s="900">
        <f t="shared" si="2"/>
        <v>36.63157894736842</v>
      </c>
      <c r="I16" s="917">
        <f t="shared" si="2"/>
        <v>38.5852646143203</v>
      </c>
      <c r="J16" s="998">
        <f t="shared" si="3"/>
        <v>5.333337309207731</v>
      </c>
      <c r="K16" s="911">
        <v>0</v>
      </c>
      <c r="L16" s="896">
        <v>0</v>
      </c>
      <c r="M16" s="1002">
        <v>0</v>
      </c>
      <c r="N16" s="911">
        <v>226.2</v>
      </c>
      <c r="O16" s="917">
        <v>223.1</v>
      </c>
      <c r="P16" s="998">
        <f t="shared" si="0"/>
        <v>-1.3704686118479192</v>
      </c>
      <c r="Q16" s="125"/>
      <c r="R16" s="57"/>
    </row>
    <row r="17" spans="1:18" ht="13.5" customHeight="1">
      <c r="A17" s="431"/>
      <c r="B17" s="196"/>
      <c r="C17" s="1519" t="s">
        <v>7</v>
      </c>
      <c r="D17" s="982" t="s">
        <v>392</v>
      </c>
      <c r="E17" s="988">
        <v>478056</v>
      </c>
      <c r="F17" s="978">
        <v>523041.6</v>
      </c>
      <c r="G17" s="1126">
        <f t="shared" si="1"/>
        <v>9.410110949344851</v>
      </c>
      <c r="H17" s="938">
        <f t="shared" si="2"/>
        <v>22.608857539702463</v>
      </c>
      <c r="I17" s="980">
        <f t="shared" si="2"/>
        <v>28.56312002716419</v>
      </c>
      <c r="J17" s="942">
        <f t="shared" si="3"/>
        <v>26.33597242587644</v>
      </c>
      <c r="K17" s="991">
        <v>0</v>
      </c>
      <c r="L17" s="959">
        <v>0</v>
      </c>
      <c r="M17" s="952">
        <v>0</v>
      </c>
      <c r="N17" s="909">
        <v>10808.3</v>
      </c>
      <c r="O17" s="981">
        <v>14939.7</v>
      </c>
      <c r="P17" s="976">
        <f t="shared" si="0"/>
        <v>38.22432760008514</v>
      </c>
      <c r="Q17" s="125"/>
      <c r="R17" s="57"/>
    </row>
    <row r="18" spans="1:18" ht="13.5" customHeight="1">
      <c r="A18" s="431"/>
      <c r="B18" s="196"/>
      <c r="C18" s="1520"/>
      <c r="D18" s="983" t="s">
        <v>391</v>
      </c>
      <c r="E18" s="988">
        <v>170634</v>
      </c>
      <c r="F18" s="978">
        <v>183273.2</v>
      </c>
      <c r="G18" s="1126">
        <f t="shared" si="1"/>
        <v>7.407199034190137</v>
      </c>
      <c r="H18" s="938">
        <f t="shared" si="2"/>
        <v>24.806896632558576</v>
      </c>
      <c r="I18" s="980">
        <f t="shared" si="2"/>
        <v>36.9977716327319</v>
      </c>
      <c r="J18" s="942">
        <f t="shared" si="3"/>
        <v>49.143087830555274</v>
      </c>
      <c r="K18" s="991">
        <v>0</v>
      </c>
      <c r="L18" s="959">
        <v>0</v>
      </c>
      <c r="M18" s="952">
        <v>0</v>
      </c>
      <c r="N18" s="909">
        <v>4232.9</v>
      </c>
      <c r="O18" s="981">
        <v>6780.7</v>
      </c>
      <c r="P18" s="976">
        <f t="shared" si="0"/>
        <v>60.19041319190155</v>
      </c>
      <c r="Q18" s="125"/>
      <c r="R18" s="57"/>
    </row>
    <row r="19" spans="1:18" ht="13.5" customHeight="1">
      <c r="A19" s="431"/>
      <c r="B19" s="196"/>
      <c r="C19" s="1520"/>
      <c r="D19" s="982" t="s">
        <v>387</v>
      </c>
      <c r="E19" s="988">
        <v>278646</v>
      </c>
      <c r="F19" s="978">
        <v>261081</v>
      </c>
      <c r="G19" s="1126">
        <f t="shared" si="1"/>
        <v>-6.303697164143751</v>
      </c>
      <c r="H19" s="938">
        <f t="shared" si="2"/>
        <v>22.933399366938698</v>
      </c>
      <c r="I19" s="980">
        <f t="shared" si="2"/>
        <v>22.74389940286731</v>
      </c>
      <c r="J19" s="942">
        <f t="shared" si="3"/>
        <v>-0.8263056036279304</v>
      </c>
      <c r="K19" s="991">
        <v>0</v>
      </c>
      <c r="L19" s="959">
        <v>0</v>
      </c>
      <c r="M19" s="952">
        <v>0</v>
      </c>
      <c r="N19" s="909">
        <v>6390.3</v>
      </c>
      <c r="O19" s="981">
        <v>5938</v>
      </c>
      <c r="P19" s="976">
        <f t="shared" si="0"/>
        <v>-7.077914964868636</v>
      </c>
      <c r="Q19" s="125"/>
      <c r="R19" s="57"/>
    </row>
    <row r="20" spans="1:18" ht="13.5" customHeight="1">
      <c r="A20" s="431"/>
      <c r="B20" s="196"/>
      <c r="C20" s="1520"/>
      <c r="D20" s="982" t="s">
        <v>388</v>
      </c>
      <c r="E20" s="988">
        <v>8694</v>
      </c>
      <c r="F20" s="978">
        <v>8403</v>
      </c>
      <c r="G20" s="1126">
        <f t="shared" si="1"/>
        <v>-3.347135955831604</v>
      </c>
      <c r="H20" s="962">
        <v>0</v>
      </c>
      <c r="I20" s="964">
        <v>0</v>
      </c>
      <c r="J20" s="942">
        <v>0</v>
      </c>
      <c r="K20" s="938">
        <f>N20*1000/E20</f>
        <v>25.212790430181734</v>
      </c>
      <c r="L20" s="966">
        <f>O20*1000/F20</f>
        <v>24.634059264548377</v>
      </c>
      <c r="M20" s="952">
        <f>(L20/K20-1)*100</f>
        <v>-2.2953872052994595</v>
      </c>
      <c r="N20" s="909">
        <v>219.2</v>
      </c>
      <c r="O20" s="981">
        <v>207</v>
      </c>
      <c r="P20" s="976">
        <f t="shared" si="0"/>
        <v>-5.565693430656927</v>
      </c>
      <c r="Q20" s="125"/>
      <c r="R20" s="57"/>
    </row>
    <row r="21" spans="1:18" ht="13.5" customHeight="1">
      <c r="A21" s="431"/>
      <c r="B21" s="196"/>
      <c r="C21" s="1520"/>
      <c r="D21" s="982" t="s">
        <v>389</v>
      </c>
      <c r="E21" s="988">
        <v>28161</v>
      </c>
      <c r="F21" s="978">
        <v>27715</v>
      </c>
      <c r="G21" s="1126"/>
      <c r="H21" s="938">
        <v>0</v>
      </c>
      <c r="I21" s="980">
        <f t="shared" si="2"/>
        <v>18.867039509290997</v>
      </c>
      <c r="J21" s="942">
        <v>0</v>
      </c>
      <c r="K21" s="991">
        <v>0</v>
      </c>
      <c r="L21" s="959">
        <v>0</v>
      </c>
      <c r="M21" s="952">
        <v>0</v>
      </c>
      <c r="N21" s="909">
        <v>534.2</v>
      </c>
      <c r="O21" s="981">
        <v>522.9</v>
      </c>
      <c r="P21" s="976">
        <v>0</v>
      </c>
      <c r="Q21" s="125"/>
      <c r="R21" s="57"/>
    </row>
    <row r="22" spans="1:18" ht="13.5" customHeight="1">
      <c r="A22" s="431"/>
      <c r="B22" s="196"/>
      <c r="C22" s="1520"/>
      <c r="D22" s="985" t="s">
        <v>390</v>
      </c>
      <c r="E22" s="972">
        <v>4681</v>
      </c>
      <c r="F22" s="996">
        <v>4525</v>
      </c>
      <c r="G22" s="1127"/>
      <c r="H22" s="904">
        <v>0</v>
      </c>
      <c r="I22" s="905">
        <v>0</v>
      </c>
      <c r="J22" s="971">
        <v>0</v>
      </c>
      <c r="K22" s="907">
        <v>0</v>
      </c>
      <c r="L22" s="922">
        <f>O22*1000/F22</f>
        <v>24.640883977900554</v>
      </c>
      <c r="M22" s="970">
        <v>0</v>
      </c>
      <c r="N22" s="1004">
        <v>118</v>
      </c>
      <c r="O22" s="1006">
        <v>111.5</v>
      </c>
      <c r="P22" s="986">
        <v>0</v>
      </c>
      <c r="Q22" s="125"/>
      <c r="R22" s="57"/>
    </row>
    <row r="23" spans="1:18" ht="13.5" customHeight="1">
      <c r="A23" s="431"/>
      <c r="B23" s="196"/>
      <c r="C23" s="1521"/>
      <c r="D23" s="992" t="s">
        <v>127</v>
      </c>
      <c r="E23" s="911">
        <f>E17+E18+E19+E20+E21+E22</f>
        <v>968872</v>
      </c>
      <c r="F23" s="917">
        <f>F17+F18+F19+F20+F21+F22</f>
        <v>1008038.8</v>
      </c>
      <c r="G23" s="1129">
        <f>(F23/E23-1)*100</f>
        <v>4.042515419993564</v>
      </c>
      <c r="H23" s="913">
        <f>SUM(N17+N18+N19+N21)*1000/SUM(E17+E18+E19+E21)</f>
        <v>22.98876919550768</v>
      </c>
      <c r="I23" s="913">
        <f>SUM(O17+O18+O19+O21)*1000/SUM(F17+F18+F19+F21)</f>
        <v>28.319760975360737</v>
      </c>
      <c r="J23" s="914">
        <f>(I23/H23-1)*100</f>
        <v>23.189548490028812</v>
      </c>
      <c r="K23" s="900">
        <f>SUM(N20+N22)*1000/SUM(E20+E22)</f>
        <v>25.21121495327103</v>
      </c>
      <c r="L23" s="913">
        <f>SUM(O20+O22)*1000/SUM(F20+F22)</f>
        <v>24.636448019801982</v>
      </c>
      <c r="M23" s="899">
        <f>(L23/K23-1)*100</f>
        <v>-2.279806564397535</v>
      </c>
      <c r="N23" s="911">
        <f>N17+N18+N19+N20+N21+N22</f>
        <v>22302.9</v>
      </c>
      <c r="O23" s="951">
        <f>O17+O18+O19+O20+O21+O22</f>
        <v>28499.800000000003</v>
      </c>
      <c r="P23" s="914">
        <f>(O23/N23-1)*100</f>
        <v>27.7851759188267</v>
      </c>
      <c r="Q23" s="125"/>
      <c r="R23" s="57"/>
    </row>
    <row r="24" spans="1:18" ht="13.5" customHeight="1">
      <c r="A24" s="431"/>
      <c r="B24" s="196"/>
      <c r="C24" s="1522" t="s">
        <v>29</v>
      </c>
      <c r="D24" s="1009" t="s">
        <v>47</v>
      </c>
      <c r="E24" s="988">
        <v>150118</v>
      </c>
      <c r="F24" s="977">
        <v>150025</v>
      </c>
      <c r="G24" s="1126">
        <f t="shared" si="1"/>
        <v>-0.06195126500486703</v>
      </c>
      <c r="H24" s="979">
        <f t="shared" si="2"/>
        <v>19.57793202680558</v>
      </c>
      <c r="I24" s="980">
        <f t="shared" si="2"/>
        <v>23.342776203966007</v>
      </c>
      <c r="J24" s="942">
        <f t="shared" si="3"/>
        <v>19.230040088022072</v>
      </c>
      <c r="K24" s="991">
        <v>0</v>
      </c>
      <c r="L24" s="959">
        <v>0</v>
      </c>
      <c r="M24" s="952">
        <v>0</v>
      </c>
      <c r="N24" s="954">
        <v>2939</v>
      </c>
      <c r="O24" s="981">
        <v>3502</v>
      </c>
      <c r="P24" s="976">
        <f t="shared" si="0"/>
        <v>19.15617556992175</v>
      </c>
      <c r="Q24" s="125"/>
      <c r="R24" s="57"/>
    </row>
    <row r="25" spans="1:18" ht="13.5" customHeight="1">
      <c r="A25" s="431"/>
      <c r="B25" s="196"/>
      <c r="C25" s="1523"/>
      <c r="D25" s="985" t="s">
        <v>48</v>
      </c>
      <c r="E25" s="972">
        <v>283124</v>
      </c>
      <c r="F25" s="973">
        <v>260032</v>
      </c>
      <c r="G25" s="1130">
        <f t="shared" si="1"/>
        <v>-8.156143597858179</v>
      </c>
      <c r="H25" s="916">
        <v>0</v>
      </c>
      <c r="I25" s="918">
        <v>0</v>
      </c>
      <c r="J25" s="989">
        <v>0</v>
      </c>
      <c r="K25" s="907">
        <f>N25*1000/E25</f>
        <v>27.41201734928865</v>
      </c>
      <c r="L25" s="908">
        <f>O25*1000/F25</f>
        <v>22.893336204774798</v>
      </c>
      <c r="M25" s="906">
        <f>(L25/K25-1)*100</f>
        <v>-16.48430718154027</v>
      </c>
      <c r="N25" s="974">
        <v>7761</v>
      </c>
      <c r="O25" s="975">
        <v>5953</v>
      </c>
      <c r="P25" s="910">
        <f t="shared" si="0"/>
        <v>-23.29596701455998</v>
      </c>
      <c r="Q25" s="125"/>
      <c r="R25" s="57"/>
    </row>
    <row r="26" spans="1:18" ht="13.5" customHeight="1">
      <c r="A26" s="431"/>
      <c r="B26" s="196"/>
      <c r="C26" s="1524"/>
      <c r="D26" s="943" t="s">
        <v>127</v>
      </c>
      <c r="E26" s="949">
        <f>E24+E25</f>
        <v>433242</v>
      </c>
      <c r="F26" s="919">
        <f>F24+F25</f>
        <v>410057</v>
      </c>
      <c r="G26" s="1131">
        <f>(F26/E26-1)*100</f>
        <v>-5.351512549568138</v>
      </c>
      <c r="H26" s="913">
        <f>N24*1000/E24</f>
        <v>19.57793202680558</v>
      </c>
      <c r="I26" s="913">
        <f>O24*1000/F24</f>
        <v>23.342776203966007</v>
      </c>
      <c r="J26" s="903">
        <f>(I26/H26-1)*100</f>
        <v>19.230040088022072</v>
      </c>
      <c r="K26" s="900">
        <f>N25*1000/E25</f>
        <v>27.41201734928865</v>
      </c>
      <c r="L26" s="913">
        <f>O25*1000/F25</f>
        <v>22.893336204774798</v>
      </c>
      <c r="M26" s="920">
        <f>(L26/K26-1)*100</f>
        <v>-16.48430718154027</v>
      </c>
      <c r="N26" s="955">
        <f>N24+N25</f>
        <v>10700</v>
      </c>
      <c r="O26" s="921">
        <f>O24+O25</f>
        <v>9455</v>
      </c>
      <c r="P26" s="903">
        <f>(O26/N26-1)*100</f>
        <v>-11.635514018691584</v>
      </c>
      <c r="Q26" s="125"/>
      <c r="R26" s="57"/>
    </row>
    <row r="27" spans="1:18" ht="13.5" customHeight="1">
      <c r="A27" s="431"/>
      <c r="B27" s="196"/>
      <c r="C27" s="873" t="s">
        <v>30</v>
      </c>
      <c r="D27" s="1010" t="s">
        <v>47</v>
      </c>
      <c r="E27" s="948">
        <v>12538</v>
      </c>
      <c r="F27" s="897">
        <v>13090</v>
      </c>
      <c r="G27" s="1125">
        <f t="shared" si="1"/>
        <v>4.402616047216457</v>
      </c>
      <c r="H27" s="913">
        <f t="shared" si="2"/>
        <v>24.69293348221407</v>
      </c>
      <c r="I27" s="912">
        <f t="shared" si="2"/>
        <v>24.950343773873186</v>
      </c>
      <c r="J27" s="914">
        <f t="shared" si="3"/>
        <v>1.042445166932171</v>
      </c>
      <c r="K27" s="911">
        <v>0</v>
      </c>
      <c r="L27" s="897">
        <v>0</v>
      </c>
      <c r="M27" s="899">
        <v>0</v>
      </c>
      <c r="N27" s="951">
        <v>309.6</v>
      </c>
      <c r="O27" s="912">
        <v>326.6</v>
      </c>
      <c r="P27" s="914">
        <f t="shared" si="0"/>
        <v>5.490956072351416</v>
      </c>
      <c r="Q27" s="125"/>
      <c r="R27" s="57"/>
    </row>
    <row r="28" spans="1:18" ht="13.5" customHeight="1">
      <c r="A28" s="431"/>
      <c r="B28" s="196"/>
      <c r="C28" s="874" t="s">
        <v>8</v>
      </c>
      <c r="D28" s="1010" t="s">
        <v>47</v>
      </c>
      <c r="E28" s="948">
        <v>198971.3</v>
      </c>
      <c r="F28" s="897">
        <v>200177</v>
      </c>
      <c r="G28" s="1125">
        <f t="shared" si="1"/>
        <v>0.6059667901853194</v>
      </c>
      <c r="H28" s="913">
        <f t="shared" si="2"/>
        <v>20.42455369191436</v>
      </c>
      <c r="I28" s="912">
        <f t="shared" si="2"/>
        <v>27.287350694635247</v>
      </c>
      <c r="J28" s="914">
        <f t="shared" si="3"/>
        <v>33.60071953708206</v>
      </c>
      <c r="K28" s="911">
        <v>0</v>
      </c>
      <c r="L28" s="897">
        <v>0</v>
      </c>
      <c r="M28" s="899">
        <v>0</v>
      </c>
      <c r="N28" s="951">
        <v>4063.9</v>
      </c>
      <c r="O28" s="912">
        <v>5462.3</v>
      </c>
      <c r="P28" s="914">
        <f t="shared" si="0"/>
        <v>34.41029552892543</v>
      </c>
      <c r="Q28" s="125"/>
      <c r="R28" s="57"/>
    </row>
    <row r="29" spans="1:18" ht="13.5" customHeight="1">
      <c r="A29" s="431"/>
      <c r="B29" s="196"/>
      <c r="C29" s="875" t="s">
        <v>6</v>
      </c>
      <c r="D29" s="1010" t="s">
        <v>47</v>
      </c>
      <c r="E29" s="948">
        <v>44500</v>
      </c>
      <c r="F29" s="897">
        <v>47300</v>
      </c>
      <c r="G29" s="1125">
        <f t="shared" si="1"/>
        <v>6.292134831460672</v>
      </c>
      <c r="H29" s="913">
        <f t="shared" si="2"/>
        <v>28.98876404494382</v>
      </c>
      <c r="I29" s="912">
        <f t="shared" si="2"/>
        <v>23.60042283298097</v>
      </c>
      <c r="J29" s="914">
        <f t="shared" si="3"/>
        <v>-18.587688676926106</v>
      </c>
      <c r="K29" s="911">
        <v>0</v>
      </c>
      <c r="L29" s="897">
        <v>0</v>
      </c>
      <c r="M29" s="899">
        <v>0</v>
      </c>
      <c r="N29" s="951">
        <v>1290</v>
      </c>
      <c r="O29" s="912">
        <v>1116.3</v>
      </c>
      <c r="P29" s="914">
        <f t="shared" si="0"/>
        <v>-13.465116279069766</v>
      </c>
      <c r="Q29" s="125"/>
      <c r="R29" s="57"/>
    </row>
    <row r="30" spans="1:18" ht="13.5" customHeight="1">
      <c r="A30" s="431"/>
      <c r="B30" s="196"/>
      <c r="C30" s="1525" t="s">
        <v>14</v>
      </c>
      <c r="D30" s="1009" t="s">
        <v>47</v>
      </c>
      <c r="E30" s="957">
        <v>8450</v>
      </c>
      <c r="F30" s="958">
        <v>9906</v>
      </c>
      <c r="G30" s="1132">
        <f t="shared" si="1"/>
        <v>17.230769230769226</v>
      </c>
      <c r="H30" s="987">
        <f t="shared" si="2"/>
        <v>10.662721893491124</v>
      </c>
      <c r="I30" s="963">
        <f t="shared" si="2"/>
        <v>11.831213406016555</v>
      </c>
      <c r="J30" s="942">
        <f t="shared" si="3"/>
        <v>10.958660689056487</v>
      </c>
      <c r="K30" s="965">
        <v>0</v>
      </c>
      <c r="L30" s="958">
        <v>0</v>
      </c>
      <c r="M30" s="952">
        <v>0</v>
      </c>
      <c r="N30" s="990">
        <v>90.1</v>
      </c>
      <c r="O30" s="967">
        <v>117.2</v>
      </c>
      <c r="P30" s="942">
        <f t="shared" si="0"/>
        <v>30.07769145394008</v>
      </c>
      <c r="Q30" s="125"/>
      <c r="R30" s="57"/>
    </row>
    <row r="31" spans="1:18" ht="13.5" customHeight="1">
      <c r="A31" s="431"/>
      <c r="B31" s="196"/>
      <c r="C31" s="1525"/>
      <c r="D31" s="1011" t="s">
        <v>48</v>
      </c>
      <c r="E31" s="968">
        <v>1559</v>
      </c>
      <c r="F31" s="969">
        <v>3684</v>
      </c>
      <c r="G31" s="1133">
        <f t="shared" si="1"/>
        <v>136.3053239255933</v>
      </c>
      <c r="H31" s="946">
        <v>0</v>
      </c>
      <c r="I31" s="905">
        <v>0</v>
      </c>
      <c r="J31" s="971">
        <v>0</v>
      </c>
      <c r="K31" s="907">
        <f>N31*1000/E31</f>
        <v>24.50288646568313</v>
      </c>
      <c r="L31" s="922">
        <f>O31*1000/F31</f>
        <v>19.59826275787188</v>
      </c>
      <c r="M31" s="970">
        <f>(L31/K31-1)*100</f>
        <v>-20.016514032664247</v>
      </c>
      <c r="N31" s="908">
        <v>38.2</v>
      </c>
      <c r="O31" s="922">
        <v>72.2</v>
      </c>
      <c r="P31" s="971">
        <f t="shared" si="0"/>
        <v>89.00523560209423</v>
      </c>
      <c r="Q31" s="125"/>
      <c r="R31" s="57"/>
    </row>
    <row r="32" spans="1:18" ht="13.5" customHeight="1" thickBot="1">
      <c r="A32" s="431"/>
      <c r="B32" s="196"/>
      <c r="C32" s="1526"/>
      <c r="D32" s="943" t="s">
        <v>127</v>
      </c>
      <c r="E32" s="950">
        <f>E30+E31</f>
        <v>10009</v>
      </c>
      <c r="F32" s="960">
        <f>F30+F31</f>
        <v>13590</v>
      </c>
      <c r="G32" s="1134">
        <f>(F32/E32-1)*100</f>
        <v>35.777799980017974</v>
      </c>
      <c r="H32" s="1071">
        <f>N30*1000/E30</f>
        <v>10.662721893491124</v>
      </c>
      <c r="I32" s="1072">
        <f>O32*1000/F32</f>
        <v>13.936718175128771</v>
      </c>
      <c r="J32" s="1073">
        <f>(I32/H32-1)*100</f>
        <v>30.705070565858072</v>
      </c>
      <c r="K32" s="1071">
        <f>N31*1000/E31</f>
        <v>24.50288646568313</v>
      </c>
      <c r="L32" s="1074">
        <f>O31*1000/F31</f>
        <v>19.59826275787188</v>
      </c>
      <c r="M32" s="1075">
        <f>(L32/K32-1)*100</f>
        <v>-20.016514032664247</v>
      </c>
      <c r="N32" s="956">
        <f>N30+N31</f>
        <v>128.3</v>
      </c>
      <c r="O32" s="941">
        <f>O30+O31</f>
        <v>189.4</v>
      </c>
      <c r="P32" s="903">
        <f>(O32/N32-1)*100</f>
        <v>47.62275915822292</v>
      </c>
      <c r="Q32" s="125"/>
      <c r="R32" s="57"/>
    </row>
    <row r="33" spans="1:18" ht="13.5" customHeight="1">
      <c r="A33" s="431"/>
      <c r="B33" s="196"/>
      <c r="C33" s="923"/>
      <c r="D33" s="1082" t="s">
        <v>47</v>
      </c>
      <c r="E33" s="1083">
        <f>E9+E10+E13+E16+E17+E18+E19+E21+E24+E27+E28+E29+E30</f>
        <v>1479810.3</v>
      </c>
      <c r="F33" s="1084">
        <f>F9+F10+F13+F16+F17+F18+F19+F21+F24+F27+F28+F29+F30</f>
        <v>1524696.8</v>
      </c>
      <c r="G33" s="1135">
        <f>(F33/E35-1)*100</f>
        <v>-20.67440889251784</v>
      </c>
      <c r="H33" s="1529">
        <f>N33*1000/E35</f>
        <v>16.67380912382003</v>
      </c>
      <c r="I33" s="1531">
        <f>O33*1000/F33</f>
        <v>26.410890348822143</v>
      </c>
      <c r="J33" s="1533">
        <f>(I33/H33-1)*100</f>
        <v>58.397461268114334</v>
      </c>
      <c r="K33" s="1535">
        <f>N34*1000/E34</f>
        <v>25.294168189135902</v>
      </c>
      <c r="L33" s="1537">
        <f>N34*1000/F34</f>
        <v>26.803620298937748</v>
      </c>
      <c r="M33" s="1527">
        <f>(L33/K33-1)*100</f>
        <v>5.967589440044008</v>
      </c>
      <c r="N33" s="1083">
        <f>N9+N10+N13+N16+N17+N18+N19+N21+N24+N27+N28+N29+N30</f>
        <v>32048.299999999996</v>
      </c>
      <c r="O33" s="1085">
        <f>O9+O10+O13+O16+O17+O18+O19+O21+O24+O27+O28+O29+O30</f>
        <v>40268.600000000006</v>
      </c>
      <c r="P33" s="1086">
        <f t="shared" si="0"/>
        <v>25.649722450176803</v>
      </c>
      <c r="Q33" s="125"/>
      <c r="R33" s="57"/>
    </row>
    <row r="34" spans="1:18" ht="13.5" customHeight="1" thickBot="1">
      <c r="A34" s="431"/>
      <c r="B34" s="196"/>
      <c r="C34" s="924" t="s">
        <v>477</v>
      </c>
      <c r="D34" s="1081" t="s">
        <v>48</v>
      </c>
      <c r="E34" s="885">
        <f>E7+E8+E11+E14+E20+E22+E25+E31</f>
        <v>442264</v>
      </c>
      <c r="F34" s="887">
        <f>F7+F8+F11+F14+F20+F22+F25+F31</f>
        <v>417357.8</v>
      </c>
      <c r="G34" s="1136">
        <f t="shared" si="1"/>
        <v>-5.631523253079607</v>
      </c>
      <c r="H34" s="1530"/>
      <c r="I34" s="1532"/>
      <c r="J34" s="1534"/>
      <c r="K34" s="1536"/>
      <c r="L34" s="1538"/>
      <c r="M34" s="1528"/>
      <c r="N34" s="887">
        <f>N7+N8+N11+N14+N20+N22+N25+N31</f>
        <v>11186.7</v>
      </c>
      <c r="O34" s="886">
        <f>O7+O8+O11+O14+O20+O22+O25+O31</f>
        <v>9399.900000000001</v>
      </c>
      <c r="P34" s="888">
        <f t="shared" si="0"/>
        <v>-15.972538818418291</v>
      </c>
      <c r="Q34" s="125"/>
      <c r="R34" s="57"/>
    </row>
    <row r="35" spans="1:18" ht="13.5" customHeight="1" thickBot="1">
      <c r="A35" s="431"/>
      <c r="B35" s="196"/>
      <c r="C35" s="925"/>
      <c r="D35" s="884" t="s">
        <v>478</v>
      </c>
      <c r="E35" s="885">
        <f>E33+E34</f>
        <v>1922074.3</v>
      </c>
      <c r="F35" s="886">
        <f>F33+F34</f>
        <v>1942054.6</v>
      </c>
      <c r="G35" s="1136">
        <f t="shared" si="1"/>
        <v>1.0395175670368184</v>
      </c>
      <c r="H35" s="1499">
        <f>N35*1000/E35</f>
        <v>22.493927524029637</v>
      </c>
      <c r="I35" s="1500"/>
      <c r="J35" s="1499">
        <f>O35*1000/F35</f>
        <v>25.575233569643203</v>
      </c>
      <c r="K35" s="1500"/>
      <c r="L35" s="1501">
        <f>(J35/H35-1)*100</f>
        <v>13.698390564839746</v>
      </c>
      <c r="M35" s="1502"/>
      <c r="N35" s="887">
        <f>N33+N34</f>
        <v>43235</v>
      </c>
      <c r="O35" s="886">
        <f>O33+O34</f>
        <v>49668.50000000001</v>
      </c>
      <c r="P35" s="888">
        <f t="shared" si="0"/>
        <v>14.880305308199393</v>
      </c>
      <c r="Q35" s="125"/>
      <c r="R35" s="57"/>
    </row>
    <row r="36" spans="1:18" ht="15">
      <c r="A36" s="431"/>
      <c r="B36" s="196"/>
      <c r="C36" s="802" t="s">
        <v>514</v>
      </c>
      <c r="D36" s="684"/>
      <c r="E36" s="433"/>
      <c r="F36" s="433"/>
      <c r="G36" s="433"/>
      <c r="H36" s="433"/>
      <c r="I36" s="433"/>
      <c r="J36" s="433"/>
      <c r="K36" s="433"/>
      <c r="L36" s="433"/>
      <c r="M36" s="433"/>
      <c r="N36" s="433"/>
      <c r="O36" s="433"/>
      <c r="P36" s="433"/>
      <c r="Q36" s="179"/>
      <c r="R36" s="57"/>
    </row>
    <row r="37" spans="1:18" ht="15">
      <c r="A37" s="431"/>
      <c r="B37" s="431"/>
      <c r="C37" s="431"/>
      <c r="D37" s="432"/>
      <c r="E37" s="57"/>
      <c r="F37" s="57"/>
      <c r="G37" s="57"/>
      <c r="H37" s="57"/>
      <c r="I37" s="57"/>
      <c r="J37" s="57"/>
      <c r="K37" s="57"/>
      <c r="L37" s="57"/>
      <c r="M37" s="57"/>
      <c r="N37" s="57"/>
      <c r="O37" s="57"/>
      <c r="P37" s="57"/>
      <c r="Q37" s="57"/>
      <c r="R37" s="57"/>
    </row>
    <row r="38" spans="4:18" ht="15">
      <c r="D38"/>
      <c r="E38"/>
      <c r="F38" s="4"/>
      <c r="G38" s="4"/>
      <c r="H38"/>
      <c r="I38" s="4"/>
      <c r="J38" s="4"/>
      <c r="K38"/>
      <c r="L38" s="4"/>
      <c r="M38" s="4"/>
      <c r="N38"/>
      <c r="O38" s="4"/>
      <c r="P38" s="4"/>
      <c r="Q38"/>
      <c r="R38"/>
    </row>
    <row r="39" spans="4:18" ht="15">
      <c r="D39"/>
      <c r="E39"/>
      <c r="F39"/>
      <c r="G39"/>
      <c r="H39"/>
      <c r="I39"/>
      <c r="J39"/>
      <c r="K39"/>
      <c r="L39"/>
      <c r="M39"/>
      <c r="N39"/>
      <c r="O39"/>
      <c r="P39"/>
      <c r="Q39"/>
      <c r="R39"/>
    </row>
    <row r="40" spans="4:16" ht="15">
      <c r="D40"/>
      <c r="E40"/>
      <c r="F40"/>
      <c r="G40"/>
      <c r="H40"/>
      <c r="I40"/>
      <c r="J40"/>
      <c r="K40"/>
      <c r="L40"/>
      <c r="M40"/>
      <c r="N40"/>
      <c r="O40"/>
      <c r="P40"/>
    </row>
    <row r="41" spans="4:16" ht="15">
      <c r="D41"/>
      <c r="E41"/>
      <c r="F41"/>
      <c r="G41"/>
      <c r="H41"/>
      <c r="I41"/>
      <c r="J41"/>
      <c r="K41"/>
      <c r="L41"/>
      <c r="M41"/>
      <c r="N41"/>
      <c r="O41"/>
      <c r="P41"/>
    </row>
    <row r="42" spans="4:16" ht="15">
      <c r="D42"/>
      <c r="E42"/>
      <c r="F42"/>
      <c r="G42"/>
      <c r="H42"/>
      <c r="I42"/>
      <c r="J42"/>
      <c r="K42"/>
      <c r="L42"/>
      <c r="M42"/>
      <c r="N42"/>
      <c r="O42"/>
      <c r="P42"/>
    </row>
    <row r="43" spans="4:16" ht="15">
      <c r="D43"/>
      <c r="E43"/>
      <c r="F43"/>
      <c r="G43"/>
      <c r="H43"/>
      <c r="I43"/>
      <c r="J43"/>
      <c r="K43"/>
      <c r="L43"/>
      <c r="M43"/>
      <c r="N43"/>
      <c r="O43"/>
      <c r="P43"/>
    </row>
    <row r="44" spans="4:16" ht="15">
      <c r="D44"/>
      <c r="E44"/>
      <c r="F44"/>
      <c r="G44"/>
      <c r="H44"/>
      <c r="I44"/>
      <c r="J44"/>
      <c r="K44"/>
      <c r="L44"/>
      <c r="M44"/>
      <c r="N44"/>
      <c r="O44"/>
      <c r="P44"/>
    </row>
    <row r="45" spans="4:16" ht="15">
      <c r="D45"/>
      <c r="E45"/>
      <c r="F45"/>
      <c r="G45"/>
      <c r="H45"/>
      <c r="I45"/>
      <c r="J45"/>
      <c r="K45"/>
      <c r="L45"/>
      <c r="M45"/>
      <c r="N45"/>
      <c r="O45"/>
      <c r="P45"/>
    </row>
    <row r="46" spans="4:16" ht="15">
      <c r="D46"/>
      <c r="E46"/>
      <c r="F46"/>
      <c r="G46"/>
      <c r="H46"/>
      <c r="I46"/>
      <c r="J46"/>
      <c r="K46"/>
      <c r="L46"/>
      <c r="M46"/>
      <c r="N46"/>
      <c r="O46"/>
      <c r="P46"/>
    </row>
    <row r="47" spans="4:16" ht="15">
      <c r="D47"/>
      <c r="E47"/>
      <c r="F47"/>
      <c r="G47"/>
      <c r="H47"/>
      <c r="I47"/>
      <c r="J47"/>
      <c r="K47"/>
      <c r="L47"/>
      <c r="M47"/>
      <c r="N47"/>
      <c r="O47"/>
      <c r="P47"/>
    </row>
    <row r="48" spans="4:16" ht="15">
      <c r="D48"/>
      <c r="E48"/>
      <c r="F48"/>
      <c r="G48"/>
      <c r="H48"/>
      <c r="I48"/>
      <c r="J48"/>
      <c r="K48"/>
      <c r="L48"/>
      <c r="M48"/>
      <c r="N48"/>
      <c r="O48"/>
      <c r="P48"/>
    </row>
    <row r="49" spans="4:16" ht="15">
      <c r="D49"/>
      <c r="E49"/>
      <c r="F49"/>
      <c r="G49"/>
      <c r="H49"/>
      <c r="I49"/>
      <c r="J49"/>
      <c r="K49"/>
      <c r="L49"/>
      <c r="M49"/>
      <c r="N49"/>
      <c r="O49"/>
      <c r="P49"/>
    </row>
    <row r="50" spans="4:16" ht="15">
      <c r="D50"/>
      <c r="E50"/>
      <c r="F50"/>
      <c r="G50"/>
      <c r="H50"/>
      <c r="I50"/>
      <c r="J50"/>
      <c r="K50"/>
      <c r="L50"/>
      <c r="M50"/>
      <c r="N50"/>
      <c r="O50"/>
      <c r="P50"/>
    </row>
    <row r="51" spans="4:16" ht="15">
      <c r="D51"/>
      <c r="E51"/>
      <c r="F51"/>
      <c r="G51"/>
      <c r="H51"/>
      <c r="I51"/>
      <c r="J51"/>
      <c r="K51"/>
      <c r="L51"/>
      <c r="M51"/>
      <c r="N51"/>
      <c r="O51"/>
      <c r="P51"/>
    </row>
    <row r="52" spans="4:16" ht="15">
      <c r="D52"/>
      <c r="E52"/>
      <c r="F52"/>
      <c r="G52"/>
      <c r="H52"/>
      <c r="I52"/>
      <c r="J52"/>
      <c r="K52"/>
      <c r="L52"/>
      <c r="M52"/>
      <c r="N52"/>
      <c r="O52"/>
      <c r="P52"/>
    </row>
    <row r="53" spans="4:16" ht="15">
      <c r="D53"/>
      <c r="E53"/>
      <c r="F53"/>
      <c r="G53"/>
      <c r="H53"/>
      <c r="I53"/>
      <c r="J53"/>
      <c r="K53"/>
      <c r="L53"/>
      <c r="M53"/>
      <c r="N53"/>
      <c r="O53"/>
      <c r="P53"/>
    </row>
    <row r="54" spans="4:16" ht="15">
      <c r="D54"/>
      <c r="E54"/>
      <c r="F54"/>
      <c r="G54"/>
      <c r="H54"/>
      <c r="I54"/>
      <c r="J54"/>
      <c r="K54"/>
      <c r="L54"/>
      <c r="M54"/>
      <c r="N54"/>
      <c r="O54"/>
      <c r="P54"/>
    </row>
    <row r="55" spans="4:16" ht="15">
      <c r="D55"/>
      <c r="E55"/>
      <c r="F55"/>
      <c r="G55"/>
      <c r="H55"/>
      <c r="I55"/>
      <c r="J55"/>
      <c r="K55"/>
      <c r="L55"/>
      <c r="M55"/>
      <c r="N55"/>
      <c r="O55"/>
      <c r="P55"/>
    </row>
    <row r="56" spans="4:16" ht="15">
      <c r="D56"/>
      <c r="E56"/>
      <c r="F56"/>
      <c r="G56"/>
      <c r="H56"/>
      <c r="I56"/>
      <c r="J56"/>
      <c r="K56"/>
      <c r="L56"/>
      <c r="M56"/>
      <c r="N56"/>
      <c r="O56"/>
      <c r="P56"/>
    </row>
    <row r="57" spans="4:16" ht="15">
      <c r="D57"/>
      <c r="E57"/>
      <c r="F57"/>
      <c r="G57"/>
      <c r="H57"/>
      <c r="I57"/>
      <c r="J57"/>
      <c r="K57"/>
      <c r="L57"/>
      <c r="M57"/>
      <c r="N57"/>
      <c r="O57"/>
      <c r="P57"/>
    </row>
    <row r="58" spans="4:16" ht="15">
      <c r="D58"/>
      <c r="E58"/>
      <c r="F58"/>
      <c r="G58"/>
      <c r="H58"/>
      <c r="I58"/>
      <c r="J58"/>
      <c r="K58"/>
      <c r="L58"/>
      <c r="M58"/>
      <c r="N58"/>
      <c r="O58"/>
      <c r="P58"/>
    </row>
    <row r="59" spans="4:16" ht="15">
      <c r="D59"/>
      <c r="E59"/>
      <c r="F59"/>
      <c r="G59"/>
      <c r="H59"/>
      <c r="I59"/>
      <c r="J59"/>
      <c r="K59"/>
      <c r="L59"/>
      <c r="M59"/>
      <c r="N59"/>
      <c r="O59"/>
      <c r="P59"/>
    </row>
    <row r="60" spans="4:16" ht="15">
      <c r="D60"/>
      <c r="E60"/>
      <c r="F60"/>
      <c r="G60"/>
      <c r="H60"/>
      <c r="I60"/>
      <c r="J60"/>
      <c r="K60"/>
      <c r="L60"/>
      <c r="M60"/>
      <c r="N60"/>
      <c r="O60"/>
      <c r="P60"/>
    </row>
    <row r="61" spans="4:16" ht="15">
      <c r="D61"/>
      <c r="E61"/>
      <c r="F61"/>
      <c r="G61"/>
      <c r="H61"/>
      <c r="I61"/>
      <c r="J61"/>
      <c r="K61"/>
      <c r="L61"/>
      <c r="M61"/>
      <c r="N61"/>
      <c r="O61"/>
      <c r="P61"/>
    </row>
    <row r="62" ht="15">
      <c r="D62"/>
    </row>
  </sheetData>
  <sheetProtection/>
  <mergeCells count="25">
    <mergeCell ref="C17:C23"/>
    <mergeCell ref="C24:C26"/>
    <mergeCell ref="C30:C32"/>
    <mergeCell ref="M33:M34"/>
    <mergeCell ref="H33:H34"/>
    <mergeCell ref="I33:I34"/>
    <mergeCell ref="J33:J34"/>
    <mergeCell ref="K33:K34"/>
    <mergeCell ref="L33:L34"/>
    <mergeCell ref="A1:R1"/>
    <mergeCell ref="H35:I35"/>
    <mergeCell ref="J35:K35"/>
    <mergeCell ref="L35:M35"/>
    <mergeCell ref="H4:M4"/>
    <mergeCell ref="N4:P4"/>
    <mergeCell ref="C2:P2"/>
    <mergeCell ref="C3:P3"/>
    <mergeCell ref="C4:D6"/>
    <mergeCell ref="E4:G4"/>
    <mergeCell ref="E5:G5"/>
    <mergeCell ref="H5:J5"/>
    <mergeCell ref="K5:M5"/>
    <mergeCell ref="N5:P5"/>
    <mergeCell ref="C9:C12"/>
    <mergeCell ref="C13:C15"/>
  </mergeCells>
  <printOptions horizontalCentered="1"/>
  <pageMargins left="0.64" right="0.5118110236220472" top="0.5905511811023623" bottom="0.5905511811023623" header="0.31496062992125984" footer="0.31496062992125984"/>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U62"/>
  <sheetViews>
    <sheetView zoomScalePageLayoutView="0" workbookViewId="0" topLeftCell="A1">
      <selection activeCell="S33" sqref="S33"/>
    </sheetView>
  </sheetViews>
  <sheetFormatPr defaultColWidth="9.140625" defaultRowHeight="12.75"/>
  <cols>
    <col min="1" max="1" width="3.28125" style="1" customWidth="1"/>
    <col min="2" max="2" width="2.7109375" style="1" customWidth="1"/>
    <col min="3" max="3" width="8.7109375" style="1" customWidth="1"/>
    <col min="4" max="4" width="20.57421875" style="27" customWidth="1"/>
    <col min="5" max="6" width="10.28125" style="27" bestFit="1" customWidth="1"/>
    <col min="7" max="13" width="6.7109375" style="27" customWidth="1"/>
    <col min="14" max="15" width="7.7109375" style="27" bestFit="1" customWidth="1"/>
    <col min="16" max="16" width="6.7109375" style="27" bestFit="1" customWidth="1"/>
    <col min="17" max="18" width="2.7109375" style="1" customWidth="1"/>
    <col min="19" max="16384" width="9.140625" style="1" customWidth="1"/>
  </cols>
  <sheetData>
    <row r="1" spans="1:18" ht="14.25" customHeight="1">
      <c r="A1" s="1539" t="s">
        <v>427</v>
      </c>
      <c r="B1" s="1539"/>
      <c r="C1" s="1539"/>
      <c r="D1" s="1539"/>
      <c r="E1" s="1539"/>
      <c r="F1" s="1539"/>
      <c r="G1" s="1539"/>
      <c r="H1" s="1539"/>
      <c r="I1" s="1539"/>
      <c r="J1" s="1539"/>
      <c r="K1" s="1539"/>
      <c r="L1" s="1539"/>
      <c r="M1" s="1539"/>
      <c r="N1" s="1539"/>
      <c r="O1" s="1539"/>
      <c r="P1" s="1539"/>
      <c r="Q1" s="1539"/>
      <c r="R1" s="1539"/>
    </row>
    <row r="2" spans="1:18" ht="15.75">
      <c r="A2" s="431"/>
      <c r="B2" s="1507" t="s">
        <v>386</v>
      </c>
      <c r="C2" s="1507"/>
      <c r="D2" s="1507"/>
      <c r="E2" s="1507"/>
      <c r="F2" s="1507"/>
      <c r="G2" s="1507"/>
      <c r="H2" s="1507"/>
      <c r="I2" s="1507"/>
      <c r="J2" s="1507"/>
      <c r="K2" s="1507"/>
      <c r="L2" s="1507"/>
      <c r="M2" s="1507"/>
      <c r="N2" s="1507"/>
      <c r="O2" s="1507"/>
      <c r="P2" s="1507"/>
      <c r="Q2" s="1507"/>
      <c r="R2" s="57"/>
    </row>
    <row r="3" spans="1:18" ht="13.5" customHeight="1" thickBot="1">
      <c r="A3" s="431"/>
      <c r="B3" s="196"/>
      <c r="C3" s="1508" t="s">
        <v>429</v>
      </c>
      <c r="D3" s="1508"/>
      <c r="E3" s="1508"/>
      <c r="F3" s="1508"/>
      <c r="G3" s="1508"/>
      <c r="H3" s="1508"/>
      <c r="I3" s="1508"/>
      <c r="J3" s="1508"/>
      <c r="K3" s="1508"/>
      <c r="L3" s="1508"/>
      <c r="M3" s="1508"/>
      <c r="N3" s="1508"/>
      <c r="O3" s="1508"/>
      <c r="P3" s="1508"/>
      <c r="Q3" s="179"/>
      <c r="R3" s="57"/>
    </row>
    <row r="4" spans="1:18" ht="10.5" customHeight="1" thickBot="1">
      <c r="A4" s="431"/>
      <c r="B4" s="196"/>
      <c r="C4" s="1506" t="s">
        <v>396</v>
      </c>
      <c r="D4" s="1506"/>
      <c r="E4" s="1510" t="s">
        <v>395</v>
      </c>
      <c r="F4" s="1511"/>
      <c r="G4" s="1512"/>
      <c r="H4" s="1503" t="s">
        <v>440</v>
      </c>
      <c r="I4" s="1504"/>
      <c r="J4" s="1504"/>
      <c r="K4" s="1504"/>
      <c r="L4" s="1504"/>
      <c r="M4" s="1505"/>
      <c r="N4" s="1506" t="s">
        <v>333</v>
      </c>
      <c r="O4" s="1506"/>
      <c r="P4" s="1506"/>
      <c r="Q4" s="125"/>
      <c r="R4" s="57"/>
    </row>
    <row r="5" spans="1:18" ht="13.5" customHeight="1">
      <c r="A5" s="431"/>
      <c r="B5" s="196"/>
      <c r="C5" s="1506"/>
      <c r="D5" s="1506"/>
      <c r="E5" s="1513" t="s">
        <v>393</v>
      </c>
      <c r="F5" s="1514"/>
      <c r="G5" s="1515"/>
      <c r="H5" s="1514" t="s">
        <v>448</v>
      </c>
      <c r="I5" s="1514"/>
      <c r="J5" s="1515"/>
      <c r="K5" s="1513" t="s">
        <v>447</v>
      </c>
      <c r="L5" s="1514"/>
      <c r="M5" s="1515"/>
      <c r="N5" s="1513" t="s">
        <v>394</v>
      </c>
      <c r="O5" s="1514"/>
      <c r="P5" s="1514"/>
      <c r="Q5" s="125"/>
      <c r="R5" s="57"/>
    </row>
    <row r="6" spans="1:18" ht="10.5" customHeight="1" thickBot="1">
      <c r="A6" s="431"/>
      <c r="B6" s="196"/>
      <c r="C6" s="1509"/>
      <c r="D6" s="1509"/>
      <c r="E6" s="879">
        <v>2014</v>
      </c>
      <c r="F6" s="880">
        <v>2015</v>
      </c>
      <c r="G6" s="881" t="s">
        <v>12</v>
      </c>
      <c r="H6" s="879">
        <v>2014</v>
      </c>
      <c r="I6" s="880">
        <v>2015</v>
      </c>
      <c r="J6" s="881" t="s">
        <v>12</v>
      </c>
      <c r="K6" s="879">
        <v>2014</v>
      </c>
      <c r="L6" s="880">
        <v>2015</v>
      </c>
      <c r="M6" s="881" t="s">
        <v>12</v>
      </c>
      <c r="N6" s="879">
        <v>2014</v>
      </c>
      <c r="O6" s="880">
        <v>2015</v>
      </c>
      <c r="P6" s="883" t="s">
        <v>12</v>
      </c>
      <c r="Q6" s="125"/>
      <c r="R6" s="57"/>
    </row>
    <row r="7" spans="1:18" ht="13.5" customHeight="1">
      <c r="A7" s="431"/>
      <c r="B7" s="196"/>
      <c r="C7" s="932" t="s">
        <v>3</v>
      </c>
      <c r="D7" s="1032" t="s">
        <v>48</v>
      </c>
      <c r="E7" s="710">
        <v>86004</v>
      </c>
      <c r="F7" s="711">
        <v>87657</v>
      </c>
      <c r="G7" s="712">
        <f aca="true" t="shared" si="0" ref="G7:G35">(F7/E7-1)*100</f>
        <v>1.9220036277382446</v>
      </c>
      <c r="H7" s="1034">
        <v>0</v>
      </c>
      <c r="I7" s="713">
        <v>0</v>
      </c>
      <c r="J7" s="706">
        <v>0</v>
      </c>
      <c r="K7" s="701">
        <f>N7*1000/E7</f>
        <v>17.17710804148644</v>
      </c>
      <c r="L7" s="704">
        <f>O7*1000/F7</f>
        <v>19.66642709652395</v>
      </c>
      <c r="M7" s="712">
        <f>(L7/K7-1)*100</f>
        <v>14.492073106982062</v>
      </c>
      <c r="N7" s="705">
        <v>1477.3</v>
      </c>
      <c r="O7" s="713">
        <v>1723.9</v>
      </c>
      <c r="P7" s="706">
        <f aca="true" t="shared" si="1" ref="P7:P35">(O7/N7-1)*100</f>
        <v>16.69261490557099</v>
      </c>
      <c r="Q7" s="125"/>
      <c r="R7" s="57"/>
    </row>
    <row r="8" spans="1:18" ht="13.5" customHeight="1">
      <c r="A8" s="431"/>
      <c r="B8" s="196"/>
      <c r="C8" s="878" t="s">
        <v>4</v>
      </c>
      <c r="D8" s="1033" t="s">
        <v>48</v>
      </c>
      <c r="E8" s="690">
        <v>4377</v>
      </c>
      <c r="F8" s="683">
        <v>1243</v>
      </c>
      <c r="G8" s="691">
        <f t="shared" si="0"/>
        <v>-71.60155357550833</v>
      </c>
      <c r="H8" s="1035">
        <v>0</v>
      </c>
      <c r="I8" s="714">
        <v>0</v>
      </c>
      <c r="J8" s="1049">
        <v>0</v>
      </c>
      <c r="K8" s="702">
        <f>N8*1000/E8</f>
        <v>15.695681973954764</v>
      </c>
      <c r="L8" s="708">
        <f>O8*1000/F8</f>
        <v>13.35478680611424</v>
      </c>
      <c r="M8" s="691">
        <f>(L8/K8-1)*100</f>
        <v>-14.91426222654727</v>
      </c>
      <c r="N8" s="697">
        <v>68.7</v>
      </c>
      <c r="O8" s="714">
        <v>16.6</v>
      </c>
      <c r="P8" s="429">
        <f t="shared" si="1"/>
        <v>-75.83697234352256</v>
      </c>
      <c r="Q8" s="125"/>
      <c r="R8" s="57"/>
    </row>
    <row r="9" spans="1:18" ht="13.5" customHeight="1">
      <c r="A9" s="431"/>
      <c r="B9" s="196"/>
      <c r="C9" s="1540" t="s">
        <v>5</v>
      </c>
      <c r="D9" s="1021" t="s">
        <v>383</v>
      </c>
      <c r="E9" s="688">
        <v>11973</v>
      </c>
      <c r="F9" s="1044">
        <v>9129</v>
      </c>
      <c r="G9" s="1036">
        <f t="shared" si="0"/>
        <v>-23.753445251816586</v>
      </c>
      <c r="H9" s="1017">
        <f aca="true" t="shared" si="2" ref="H9:I33">N9*1000/E9</f>
        <v>36.34009855508227</v>
      </c>
      <c r="I9" s="1053">
        <f t="shared" si="2"/>
        <v>37.002957607624055</v>
      </c>
      <c r="J9" s="1050">
        <f>(I9/H9-1)*100</f>
        <v>1.8240430788514672</v>
      </c>
      <c r="K9" s="1025">
        <v>0</v>
      </c>
      <c r="L9" s="1059">
        <v>0</v>
      </c>
      <c r="M9" s="1037">
        <v>0</v>
      </c>
      <c r="N9" s="1061">
        <v>435.1</v>
      </c>
      <c r="O9" s="1065">
        <v>337.8</v>
      </c>
      <c r="P9" s="1022">
        <f t="shared" si="1"/>
        <v>-22.362675247069642</v>
      </c>
      <c r="Q9" s="125"/>
      <c r="R9" s="57"/>
    </row>
    <row r="10" spans="1:18" ht="13.5" customHeight="1">
      <c r="A10" s="431"/>
      <c r="B10" s="196"/>
      <c r="C10" s="1541"/>
      <c r="D10" s="1021" t="s">
        <v>384</v>
      </c>
      <c r="E10" s="688">
        <v>99366</v>
      </c>
      <c r="F10" s="931">
        <v>94321</v>
      </c>
      <c r="G10" s="1036">
        <f t="shared" si="0"/>
        <v>-5.077189380673475</v>
      </c>
      <c r="H10" s="933">
        <f t="shared" si="2"/>
        <v>9.01918161141638</v>
      </c>
      <c r="I10" s="1054">
        <f t="shared" si="2"/>
        <v>8.739305138834405</v>
      </c>
      <c r="J10" s="1023">
        <f>(I10/H10-1)*100</f>
        <v>-3.103124924635181</v>
      </c>
      <c r="K10" s="727">
        <v>0</v>
      </c>
      <c r="L10" s="1045">
        <v>0</v>
      </c>
      <c r="M10" s="1037">
        <v>0</v>
      </c>
      <c r="N10" s="694">
        <v>896.2</v>
      </c>
      <c r="O10" s="1020">
        <v>824.3</v>
      </c>
      <c r="P10" s="1022">
        <f t="shared" si="1"/>
        <v>-8.022762776166047</v>
      </c>
      <c r="Q10" s="125"/>
      <c r="R10" s="57"/>
    </row>
    <row r="11" spans="1:18" ht="13.5" customHeight="1">
      <c r="A11" s="431"/>
      <c r="B11" s="196"/>
      <c r="C11" s="1541"/>
      <c r="D11" s="930" t="s">
        <v>385</v>
      </c>
      <c r="E11" s="688">
        <v>32600</v>
      </c>
      <c r="F11" s="931">
        <v>35228</v>
      </c>
      <c r="G11" s="1040">
        <f t="shared" si="0"/>
        <v>8.06134969325154</v>
      </c>
      <c r="H11" s="724">
        <v>0</v>
      </c>
      <c r="I11" s="725">
        <v>0</v>
      </c>
      <c r="J11" s="1051">
        <v>0</v>
      </c>
      <c r="K11" s="723">
        <f>N11*1000/E11</f>
        <v>31.901840490797547</v>
      </c>
      <c r="L11" s="729">
        <f>O11*1000/F11</f>
        <v>33.59827410014761</v>
      </c>
      <c r="M11" s="1043">
        <f>(L11/K11-1)*100</f>
        <v>5.317666890847317</v>
      </c>
      <c r="N11" s="694">
        <v>1040</v>
      </c>
      <c r="O11" s="471">
        <v>1183.6</v>
      </c>
      <c r="P11" s="1064">
        <f t="shared" si="1"/>
        <v>13.8076923076923</v>
      </c>
      <c r="Q11" s="125"/>
      <c r="R11" s="57"/>
    </row>
    <row r="12" spans="1:18" ht="13.5" customHeight="1">
      <c r="A12" s="431"/>
      <c r="B12" s="196"/>
      <c r="C12" s="1542"/>
      <c r="D12" s="935" t="s">
        <v>127</v>
      </c>
      <c r="E12" s="696">
        <f>E9+E10+E11</f>
        <v>143939</v>
      </c>
      <c r="F12" s="703">
        <f>F9+F10+F11</f>
        <v>138678</v>
      </c>
      <c r="G12" s="1041">
        <f>(F12/E12-1)*100</f>
        <v>-3.655020529529873</v>
      </c>
      <c r="H12" s="702">
        <f>SUM(N9+N10)*1000/SUM(E9+E10)</f>
        <v>11.957175832367815</v>
      </c>
      <c r="I12" s="1055">
        <f>SUM(O9+O10)*1000/SUM(F9+F10)</f>
        <v>11.233446109231513</v>
      </c>
      <c r="J12" s="1049">
        <f>(I12/H12-1)*100</f>
        <v>-6.052681112016279</v>
      </c>
      <c r="K12" s="702">
        <f>N11*1000/E11</f>
        <v>31.901840490797547</v>
      </c>
      <c r="L12" s="1055">
        <f>O11*1000/F11</f>
        <v>33.59827410014761</v>
      </c>
      <c r="M12" s="1041">
        <f>(L12/K12-1)*100</f>
        <v>5.317666890847317</v>
      </c>
      <c r="N12" s="696">
        <f>N9+N10+N11</f>
        <v>2371.3</v>
      </c>
      <c r="O12" s="703">
        <f>O9+O10+O11</f>
        <v>2345.7</v>
      </c>
      <c r="P12" s="1049">
        <f>(O12/N12-1)*100</f>
        <v>-1.0795766035508136</v>
      </c>
      <c r="Q12" s="125"/>
      <c r="R12" s="57"/>
    </row>
    <row r="13" spans="1:18" ht="13.5" customHeight="1">
      <c r="A13" s="431"/>
      <c r="B13" s="196"/>
      <c r="C13" s="1540" t="s">
        <v>9</v>
      </c>
      <c r="D13" s="1024" t="s">
        <v>47</v>
      </c>
      <c r="E13" s="688">
        <v>135</v>
      </c>
      <c r="F13" s="931">
        <v>111</v>
      </c>
      <c r="G13" s="1036">
        <f t="shared" si="0"/>
        <v>-17.777777777777782</v>
      </c>
      <c r="H13" s="1017">
        <f t="shared" si="2"/>
        <v>14.814814814814815</v>
      </c>
      <c r="I13" s="1053">
        <f t="shared" si="2"/>
        <v>15.315315315315315</v>
      </c>
      <c r="J13" s="1050">
        <f aca="true" t="shared" si="3" ref="J13:J30">(I13/H13-1)*100</f>
        <v>3.378378378378377</v>
      </c>
      <c r="K13" s="1025">
        <v>0</v>
      </c>
      <c r="L13" s="1059">
        <v>0</v>
      </c>
      <c r="M13" s="1037">
        <v>0</v>
      </c>
      <c r="N13" s="694">
        <v>2</v>
      </c>
      <c r="O13" s="1020">
        <v>1.7</v>
      </c>
      <c r="P13" s="1022">
        <f>(O13/N13-1)*100</f>
        <v>-15.000000000000002</v>
      </c>
      <c r="Q13" s="125"/>
      <c r="R13" s="57"/>
    </row>
    <row r="14" spans="1:18" ht="13.5" customHeight="1">
      <c r="A14" s="431"/>
      <c r="B14" s="196"/>
      <c r="C14" s="1541"/>
      <c r="D14" s="1070" t="s">
        <v>48</v>
      </c>
      <c r="E14" s="937">
        <v>19980</v>
      </c>
      <c r="F14" s="934">
        <v>20078</v>
      </c>
      <c r="G14" s="1040">
        <f t="shared" si="0"/>
        <v>0.49049049049048055</v>
      </c>
      <c r="H14" s="724">
        <v>0</v>
      </c>
      <c r="I14" s="725">
        <v>0</v>
      </c>
      <c r="J14" s="1051">
        <v>0</v>
      </c>
      <c r="K14" s="723">
        <f>N14*1000/E14</f>
        <v>8.198198198198199</v>
      </c>
      <c r="L14" s="729">
        <f>O14*1000/F14</f>
        <v>6.28548660225122</v>
      </c>
      <c r="M14" s="1043">
        <f>(L14/K14-1)*100</f>
        <v>-23.330877708803797</v>
      </c>
      <c r="N14" s="1062">
        <v>163.8</v>
      </c>
      <c r="O14" s="934">
        <v>126.2</v>
      </c>
      <c r="P14" s="1064">
        <f>(O14/N14-1)*100</f>
        <v>-22.954822954822962</v>
      </c>
      <c r="Q14" s="125"/>
      <c r="R14" s="57"/>
    </row>
    <row r="15" spans="1:18" ht="13.5" customHeight="1">
      <c r="A15" s="431"/>
      <c r="B15" s="196"/>
      <c r="C15" s="1542"/>
      <c r="D15" s="935" t="s">
        <v>127</v>
      </c>
      <c r="E15" s="1015">
        <f>E13+E14</f>
        <v>20115</v>
      </c>
      <c r="F15" s="708">
        <f>F13+F14</f>
        <v>20189</v>
      </c>
      <c r="G15" s="1042">
        <f>(F15/E15-1)*100</f>
        <v>0.36788466318666835</v>
      </c>
      <c r="H15" s="1026">
        <f>N13*1000/E13</f>
        <v>14.814814814814815</v>
      </c>
      <c r="I15" s="1057">
        <f>O13*1000/F13</f>
        <v>15.315315315315315</v>
      </c>
      <c r="J15" s="1052">
        <f>(I15/H15-1)*100</f>
        <v>3.378378378378377</v>
      </c>
      <c r="K15" s="1026">
        <f>N14*1000/E14</f>
        <v>8.198198198198199</v>
      </c>
      <c r="L15" s="1057">
        <f>O14*1000/F14</f>
        <v>6.28548660225122</v>
      </c>
      <c r="M15" s="1042">
        <f>(L15/K15-1)*100</f>
        <v>-23.330877708803797</v>
      </c>
      <c r="N15" s="1015">
        <f>N13+N14</f>
        <v>165.8</v>
      </c>
      <c r="O15" s="708">
        <f>O13+O14</f>
        <v>127.9</v>
      </c>
      <c r="P15" s="1052">
        <f>(O15/N15-1)*100</f>
        <v>-22.85886610373945</v>
      </c>
      <c r="Q15" s="125"/>
      <c r="R15" s="57"/>
    </row>
    <row r="16" spans="1:18" ht="13.5" customHeight="1">
      <c r="A16" s="431"/>
      <c r="B16" s="196"/>
      <c r="C16" s="878" t="s">
        <v>10</v>
      </c>
      <c r="D16" s="1013" t="s">
        <v>47</v>
      </c>
      <c r="E16" s="690">
        <v>6136.8</v>
      </c>
      <c r="F16" s="683">
        <v>6175</v>
      </c>
      <c r="G16" s="1041">
        <f t="shared" si="0"/>
        <v>0.6224742536826922</v>
      </c>
      <c r="H16" s="702">
        <f t="shared" si="2"/>
        <v>38.55429539825316</v>
      </c>
      <c r="I16" s="703">
        <f t="shared" si="2"/>
        <v>36.63157894736842</v>
      </c>
      <c r="J16" s="1049">
        <f t="shared" si="3"/>
        <v>-4.98703563642835</v>
      </c>
      <c r="K16" s="696">
        <v>0</v>
      </c>
      <c r="L16" s="683">
        <v>0</v>
      </c>
      <c r="M16" s="1041">
        <v>0</v>
      </c>
      <c r="N16" s="696">
        <v>236.6</v>
      </c>
      <c r="O16" s="714">
        <v>226.2</v>
      </c>
      <c r="P16" s="1049">
        <f t="shared" si="1"/>
        <v>-4.395604395604402</v>
      </c>
      <c r="Q16" s="125"/>
      <c r="R16" s="57"/>
    </row>
    <row r="17" spans="1:18" ht="13.5" customHeight="1">
      <c r="A17" s="431"/>
      <c r="B17" s="196"/>
      <c r="C17" s="1540" t="s">
        <v>7</v>
      </c>
      <c r="D17" s="1028" t="s">
        <v>392</v>
      </c>
      <c r="E17" s="688">
        <v>501214</v>
      </c>
      <c r="F17" s="931">
        <v>478056</v>
      </c>
      <c r="G17" s="1036">
        <f t="shared" si="0"/>
        <v>-4.62038171320035</v>
      </c>
      <c r="H17" s="933">
        <f t="shared" si="2"/>
        <v>21.555064303870203</v>
      </c>
      <c r="I17" s="1054">
        <f t="shared" si="2"/>
        <v>22.608857539702463</v>
      </c>
      <c r="J17" s="1023">
        <f t="shared" si="3"/>
        <v>4.888842923298786</v>
      </c>
      <c r="K17" s="727">
        <v>0</v>
      </c>
      <c r="L17" s="1045">
        <v>0</v>
      </c>
      <c r="M17" s="1037">
        <v>0</v>
      </c>
      <c r="N17" s="694">
        <v>10803.7</v>
      </c>
      <c r="O17" s="1020">
        <v>10808.3</v>
      </c>
      <c r="P17" s="1022">
        <f t="shared" si="1"/>
        <v>0.04257800568321368</v>
      </c>
      <c r="Q17" s="125"/>
      <c r="R17" s="57"/>
    </row>
    <row r="18" spans="1:18" ht="13.5" customHeight="1">
      <c r="A18" s="431"/>
      <c r="B18" s="196"/>
      <c r="C18" s="1541"/>
      <c r="D18" s="1030" t="s">
        <v>391</v>
      </c>
      <c r="E18" s="688">
        <v>174369</v>
      </c>
      <c r="F18" s="931">
        <v>170634</v>
      </c>
      <c r="G18" s="1036">
        <f t="shared" si="0"/>
        <v>-2.1420091874128966</v>
      </c>
      <c r="H18" s="933">
        <f t="shared" si="2"/>
        <v>33.06493700141654</v>
      </c>
      <c r="I18" s="1054">
        <f t="shared" si="2"/>
        <v>24.806896632558576</v>
      </c>
      <c r="J18" s="1023">
        <f t="shared" si="3"/>
        <v>-24.975218820178547</v>
      </c>
      <c r="K18" s="727">
        <v>0</v>
      </c>
      <c r="L18" s="1045">
        <v>0</v>
      </c>
      <c r="M18" s="1037">
        <v>0</v>
      </c>
      <c r="N18" s="694">
        <v>5765.5</v>
      </c>
      <c r="O18" s="1020">
        <v>4232.9</v>
      </c>
      <c r="P18" s="1022">
        <f t="shared" si="1"/>
        <v>-26.58225652588675</v>
      </c>
      <c r="Q18" s="125"/>
      <c r="R18" s="57"/>
    </row>
    <row r="19" spans="1:21" ht="13.5" customHeight="1">
      <c r="A19" s="431"/>
      <c r="B19" s="196"/>
      <c r="C19" s="1541"/>
      <c r="D19" s="1028" t="s">
        <v>387</v>
      </c>
      <c r="E19" s="688">
        <v>284582</v>
      </c>
      <c r="F19" s="931">
        <v>278646</v>
      </c>
      <c r="G19" s="1036">
        <f t="shared" si="0"/>
        <v>-2.085866288099736</v>
      </c>
      <c r="H19" s="933">
        <f t="shared" si="2"/>
        <v>18.64067298704767</v>
      </c>
      <c r="I19" s="1054">
        <f t="shared" si="2"/>
        <v>22.933399366938698</v>
      </c>
      <c r="J19" s="1023">
        <f t="shared" si="3"/>
        <v>23.02881651791111</v>
      </c>
      <c r="K19" s="727">
        <v>0</v>
      </c>
      <c r="L19" s="1045">
        <v>0</v>
      </c>
      <c r="M19" s="1037">
        <v>0</v>
      </c>
      <c r="N19" s="694">
        <v>5304.8</v>
      </c>
      <c r="O19" s="1020">
        <v>6390.3</v>
      </c>
      <c r="P19" s="1022">
        <f t="shared" si="1"/>
        <v>20.46259990951591</v>
      </c>
      <c r="Q19" s="125"/>
      <c r="R19" s="57"/>
      <c r="U19" s="473"/>
    </row>
    <row r="20" spans="1:18" ht="13.5" customHeight="1">
      <c r="A20" s="431"/>
      <c r="B20" s="196"/>
      <c r="C20" s="1541"/>
      <c r="D20" s="1028" t="s">
        <v>388</v>
      </c>
      <c r="E20" s="688">
        <v>8755</v>
      </c>
      <c r="F20" s="931">
        <v>8694</v>
      </c>
      <c r="G20" s="1036">
        <f t="shared" si="0"/>
        <v>-0.6967447173043984</v>
      </c>
      <c r="H20" s="1048">
        <v>0</v>
      </c>
      <c r="I20" s="1056">
        <v>0</v>
      </c>
      <c r="J20" s="1023">
        <v>0</v>
      </c>
      <c r="K20" s="933">
        <f>N20*1000/E20</f>
        <v>22.07881210736722</v>
      </c>
      <c r="L20" s="1060">
        <f>O20*1000/F20</f>
        <v>25.212790430181734</v>
      </c>
      <c r="M20" s="1037">
        <f>(L20/K20-1)*100</f>
        <v>14.19450606116972</v>
      </c>
      <c r="N20" s="694">
        <v>193.3</v>
      </c>
      <c r="O20" s="1020">
        <v>219.2</v>
      </c>
      <c r="P20" s="1022">
        <f t="shared" si="1"/>
        <v>13.398861872736667</v>
      </c>
      <c r="Q20" s="125"/>
      <c r="R20" s="57"/>
    </row>
    <row r="21" spans="1:18" ht="13.5" customHeight="1">
      <c r="A21" s="431"/>
      <c r="B21" s="196"/>
      <c r="C21" s="1541"/>
      <c r="D21" s="1028" t="s">
        <v>389</v>
      </c>
      <c r="E21" s="688">
        <v>34914</v>
      </c>
      <c r="F21" s="931">
        <v>28161</v>
      </c>
      <c r="G21" s="1036">
        <f t="shared" si="0"/>
        <v>-19.34181130778484</v>
      </c>
      <c r="H21" s="933">
        <f t="shared" si="2"/>
        <v>22.05419029615627</v>
      </c>
      <c r="I21" s="1054">
        <f t="shared" si="2"/>
        <v>18.969496821845816</v>
      </c>
      <c r="J21" s="1023">
        <f t="shared" si="3"/>
        <v>-13.986881553516262</v>
      </c>
      <c r="K21" s="727">
        <v>0</v>
      </c>
      <c r="L21" s="1045">
        <v>0</v>
      </c>
      <c r="M21" s="1037">
        <v>0</v>
      </c>
      <c r="N21" s="694">
        <v>770</v>
      </c>
      <c r="O21" s="1020">
        <v>534.2</v>
      </c>
      <c r="P21" s="1022">
        <f t="shared" si="1"/>
        <v>-30.62337662337662</v>
      </c>
      <c r="Q21" s="125"/>
      <c r="R21" s="57"/>
    </row>
    <row r="22" spans="1:18" ht="13.5" customHeight="1">
      <c r="A22" s="431"/>
      <c r="B22" s="196"/>
      <c r="C22" s="1541"/>
      <c r="D22" s="936" t="s">
        <v>390</v>
      </c>
      <c r="E22" s="937">
        <v>4714</v>
      </c>
      <c r="F22" s="934">
        <v>4681</v>
      </c>
      <c r="G22" s="1040">
        <f t="shared" si="0"/>
        <v>-0.7000424268137517</v>
      </c>
      <c r="H22" s="724">
        <v>0</v>
      </c>
      <c r="I22" s="725">
        <v>0</v>
      </c>
      <c r="J22" s="1051">
        <v>0</v>
      </c>
      <c r="K22" s="723">
        <f>N22*1000/E22</f>
        <v>22.083156554942725</v>
      </c>
      <c r="L22" s="729">
        <f>O22*1000/F22</f>
        <v>25.208288827173682</v>
      </c>
      <c r="M22" s="1043">
        <f>(L22/K22-1)*100</f>
        <v>14.151655649660633</v>
      </c>
      <c r="N22" s="1062">
        <v>104.1</v>
      </c>
      <c r="O22" s="471">
        <v>118</v>
      </c>
      <c r="P22" s="1064">
        <f t="shared" si="1"/>
        <v>13.352545629202694</v>
      </c>
      <c r="Q22" s="125"/>
      <c r="R22" s="57"/>
    </row>
    <row r="23" spans="1:18" ht="13.5" customHeight="1">
      <c r="A23" s="431"/>
      <c r="B23" s="196"/>
      <c r="C23" s="1542"/>
      <c r="D23" s="1068" t="s">
        <v>127</v>
      </c>
      <c r="E23" s="696">
        <f>E17+E18+E19+E20+E21+E22</f>
        <v>1008548</v>
      </c>
      <c r="F23" s="703">
        <f>F17+F18+F19+F20+F21+F22</f>
        <v>968872</v>
      </c>
      <c r="G23" s="1041">
        <f>(F23/E23-1)*100</f>
        <v>-3.933972403891539</v>
      </c>
      <c r="H23" s="702">
        <f>SUM(N17+N18+N19+N21)*1000/SUM(E17+E18+E19+E21)</f>
        <v>22.755982188348863</v>
      </c>
      <c r="I23" s="1055">
        <f>SUM(O17+O18+O19+O21)*1000/SUM(F17+F18+F19+F21)</f>
        <v>22.98876919550768</v>
      </c>
      <c r="J23" s="1049">
        <f>(I23/H23-1)*100</f>
        <v>1.0229705983774373</v>
      </c>
      <c r="K23" s="702">
        <f>SUM(N20+N22)*1000/SUM(E20+E22)</f>
        <v>22.080332615635903</v>
      </c>
      <c r="L23" s="1055">
        <f>SUM(O20+O22)*1000/SUM(F20+F22)</f>
        <v>25.21121495327103</v>
      </c>
      <c r="M23" s="1041">
        <f>(L23/K23-1)*100</f>
        <v>14.179507130332048</v>
      </c>
      <c r="N23" s="696">
        <f>N17+N18+N19+N20+N21+N22</f>
        <v>22941.399999999998</v>
      </c>
      <c r="O23" s="703">
        <f>O17+O18+O19+O20+O21+O22</f>
        <v>22302.9</v>
      </c>
      <c r="P23" s="1049">
        <f>(O23/N23-1)*100</f>
        <v>-2.7831780100603942</v>
      </c>
      <c r="Q23" s="125"/>
      <c r="R23" s="57"/>
    </row>
    <row r="24" spans="1:18" ht="13.5" customHeight="1">
      <c r="A24" s="431"/>
      <c r="B24" s="196"/>
      <c r="C24" s="1519" t="s">
        <v>29</v>
      </c>
      <c r="D24" s="1024" t="s">
        <v>47</v>
      </c>
      <c r="E24" s="688">
        <v>150118</v>
      </c>
      <c r="F24" s="931">
        <v>150118</v>
      </c>
      <c r="G24" s="1036">
        <f t="shared" si="0"/>
        <v>0</v>
      </c>
      <c r="H24" s="933">
        <f t="shared" si="2"/>
        <v>19.029696638644268</v>
      </c>
      <c r="I24" s="1054">
        <f t="shared" si="2"/>
        <v>19.57793202680558</v>
      </c>
      <c r="J24" s="1023">
        <f t="shared" si="3"/>
        <v>2.8809465467147355</v>
      </c>
      <c r="K24" s="727">
        <v>0</v>
      </c>
      <c r="L24" s="1045">
        <v>0</v>
      </c>
      <c r="M24" s="1037">
        <v>0</v>
      </c>
      <c r="N24" s="694">
        <v>2856.7</v>
      </c>
      <c r="O24" s="1020">
        <v>2939</v>
      </c>
      <c r="P24" s="1022">
        <f t="shared" si="1"/>
        <v>2.8809465467147577</v>
      </c>
      <c r="Q24" s="125"/>
      <c r="R24" s="57"/>
    </row>
    <row r="25" spans="1:18" ht="13.5" customHeight="1">
      <c r="A25" s="431"/>
      <c r="B25" s="196"/>
      <c r="C25" s="1520"/>
      <c r="D25" s="936" t="s">
        <v>48</v>
      </c>
      <c r="E25" s="937">
        <v>283124</v>
      </c>
      <c r="F25" s="934">
        <v>283124</v>
      </c>
      <c r="G25" s="1040">
        <f t="shared" si="0"/>
        <v>0</v>
      </c>
      <c r="H25" s="724">
        <v>0</v>
      </c>
      <c r="I25" s="725">
        <v>0</v>
      </c>
      <c r="J25" s="1051">
        <v>0</v>
      </c>
      <c r="K25" s="723">
        <f>N25*1000/E25</f>
        <v>35.14007996496235</v>
      </c>
      <c r="L25" s="729">
        <f>O25*1000/F25</f>
        <v>27.41201734928865</v>
      </c>
      <c r="M25" s="1043">
        <f>(L25/K25-1)*100</f>
        <v>-21.992160016082018</v>
      </c>
      <c r="N25" s="1062">
        <v>9949</v>
      </c>
      <c r="O25" s="471">
        <v>7761</v>
      </c>
      <c r="P25" s="1064">
        <f t="shared" si="1"/>
        <v>-21.992160016082018</v>
      </c>
      <c r="Q25" s="125"/>
      <c r="R25" s="57"/>
    </row>
    <row r="26" spans="1:18" ht="13.5" customHeight="1">
      <c r="A26" s="431"/>
      <c r="B26" s="196"/>
      <c r="C26" s="1521"/>
      <c r="D26" s="935" t="s">
        <v>127</v>
      </c>
      <c r="E26" s="689">
        <f>E24+E25</f>
        <v>433242</v>
      </c>
      <c r="F26" s="687">
        <f>F24+F25</f>
        <v>433242</v>
      </c>
      <c r="G26" s="1042">
        <f>(F26/E26-1)*100</f>
        <v>0</v>
      </c>
      <c r="H26" s="702">
        <f>N24*1000/E24</f>
        <v>19.029696638644268</v>
      </c>
      <c r="I26" s="1055">
        <f>O24*1000/F24</f>
        <v>19.57793202680558</v>
      </c>
      <c r="J26" s="1052">
        <f>(I26/H26-1)*100</f>
        <v>2.8809465467147355</v>
      </c>
      <c r="K26" s="702">
        <f>N25*1000/E25</f>
        <v>35.14007996496235</v>
      </c>
      <c r="L26" s="1055">
        <f>O25*1000/F25</f>
        <v>27.41201734928865</v>
      </c>
      <c r="M26" s="1042">
        <f>(L26/K26-1)*100</f>
        <v>-21.992160016082018</v>
      </c>
      <c r="N26" s="695">
        <f>N24+N25</f>
        <v>12805.7</v>
      </c>
      <c r="O26" s="764">
        <f>O24+O25</f>
        <v>10700</v>
      </c>
      <c r="P26" s="1052">
        <f>(O26/N26-1)*100</f>
        <v>-16.443458772265483</v>
      </c>
      <c r="Q26" s="125"/>
      <c r="R26" s="57"/>
    </row>
    <row r="27" spans="1:18" ht="13.5" customHeight="1">
      <c r="A27" s="431"/>
      <c r="B27" s="196"/>
      <c r="C27" s="1066" t="s">
        <v>30</v>
      </c>
      <c r="D27" s="1013" t="s">
        <v>47</v>
      </c>
      <c r="E27" s="690">
        <v>12783</v>
      </c>
      <c r="F27" s="683">
        <v>12538</v>
      </c>
      <c r="G27" s="1041">
        <f t="shared" si="0"/>
        <v>-1.9166079949933468</v>
      </c>
      <c r="H27" s="702">
        <f t="shared" si="2"/>
        <v>22.866306813736994</v>
      </c>
      <c r="I27" s="703">
        <f t="shared" si="2"/>
        <v>24.69293348221407</v>
      </c>
      <c r="J27" s="1049">
        <f t="shared" si="3"/>
        <v>7.988288984995706</v>
      </c>
      <c r="K27" s="696">
        <v>0</v>
      </c>
      <c r="L27" s="683">
        <v>0</v>
      </c>
      <c r="M27" s="1041">
        <v>0</v>
      </c>
      <c r="N27" s="696">
        <v>292.3</v>
      </c>
      <c r="O27" s="714">
        <v>309.6</v>
      </c>
      <c r="P27" s="1049">
        <f t="shared" si="1"/>
        <v>5.918576804652753</v>
      </c>
      <c r="Q27" s="125"/>
      <c r="R27" s="57"/>
    </row>
    <row r="28" spans="1:18" ht="13.5" customHeight="1">
      <c r="A28" s="431"/>
      <c r="B28" s="196"/>
      <c r="C28" s="1067" t="s">
        <v>8</v>
      </c>
      <c r="D28" s="1013" t="s">
        <v>47</v>
      </c>
      <c r="E28" s="690">
        <v>199686</v>
      </c>
      <c r="F28" s="683">
        <v>198971.3</v>
      </c>
      <c r="G28" s="1041">
        <f t="shared" si="0"/>
        <v>-0.3579119217171023</v>
      </c>
      <c r="H28" s="702">
        <f t="shared" si="2"/>
        <v>22.980078723596044</v>
      </c>
      <c r="I28" s="703">
        <f t="shared" si="2"/>
        <v>20.42455369191436</v>
      </c>
      <c r="J28" s="1049">
        <f t="shared" si="3"/>
        <v>-11.120610431406652</v>
      </c>
      <c r="K28" s="696">
        <v>0</v>
      </c>
      <c r="L28" s="683">
        <v>0</v>
      </c>
      <c r="M28" s="1041">
        <v>0</v>
      </c>
      <c r="N28" s="696">
        <v>4588.8</v>
      </c>
      <c r="O28" s="714">
        <v>4063.9</v>
      </c>
      <c r="P28" s="1049">
        <f t="shared" si="1"/>
        <v>-11.438720362622036</v>
      </c>
      <c r="Q28" s="125"/>
      <c r="R28" s="57"/>
    </row>
    <row r="29" spans="1:18" ht="13.5" customHeight="1">
      <c r="A29" s="431"/>
      <c r="B29" s="196"/>
      <c r="C29" s="878" t="s">
        <v>6</v>
      </c>
      <c r="D29" s="1069" t="s">
        <v>47</v>
      </c>
      <c r="E29" s="690">
        <v>33251</v>
      </c>
      <c r="F29" s="683">
        <v>44500</v>
      </c>
      <c r="G29" s="1041">
        <f t="shared" si="0"/>
        <v>33.83056148687258</v>
      </c>
      <c r="H29" s="702">
        <f t="shared" si="2"/>
        <v>16.799494752037532</v>
      </c>
      <c r="I29" s="703">
        <f t="shared" si="2"/>
        <v>28.98876404494382</v>
      </c>
      <c r="J29" s="1049">
        <f t="shared" si="3"/>
        <v>72.55735647304458</v>
      </c>
      <c r="K29" s="696">
        <v>0</v>
      </c>
      <c r="L29" s="683">
        <v>0</v>
      </c>
      <c r="M29" s="1041">
        <v>0</v>
      </c>
      <c r="N29" s="696">
        <v>558.6</v>
      </c>
      <c r="O29" s="714">
        <v>1290</v>
      </c>
      <c r="P29" s="1049">
        <f t="shared" si="1"/>
        <v>130.9344790547798</v>
      </c>
      <c r="Q29" s="125"/>
      <c r="R29" s="57"/>
    </row>
    <row r="30" spans="1:18" ht="13.5" customHeight="1">
      <c r="A30" s="431"/>
      <c r="B30" s="196"/>
      <c r="C30" s="1543" t="s">
        <v>14</v>
      </c>
      <c r="D30" s="1024" t="s">
        <v>47</v>
      </c>
      <c r="E30" s="1039">
        <v>10862</v>
      </c>
      <c r="F30" s="1045">
        <v>8450</v>
      </c>
      <c r="G30" s="1037">
        <f t="shared" si="0"/>
        <v>-22.205855275271592</v>
      </c>
      <c r="H30" s="933">
        <f t="shared" si="2"/>
        <v>8.534339900570798</v>
      </c>
      <c r="I30" s="1054">
        <f t="shared" si="2"/>
        <v>10.662721893491124</v>
      </c>
      <c r="J30" s="1023">
        <f t="shared" si="3"/>
        <v>24.939034743366317</v>
      </c>
      <c r="K30" s="1058">
        <v>0</v>
      </c>
      <c r="L30" s="1045">
        <v>0</v>
      </c>
      <c r="M30" s="1037">
        <v>0</v>
      </c>
      <c r="N30" s="1048">
        <v>92.7</v>
      </c>
      <c r="O30" s="1056">
        <v>90.1</v>
      </c>
      <c r="P30" s="1023">
        <f t="shared" si="1"/>
        <v>-2.80474649406689</v>
      </c>
      <c r="Q30" s="125"/>
      <c r="R30" s="57"/>
    </row>
    <row r="31" spans="1:18" ht="13.5" customHeight="1">
      <c r="A31" s="431"/>
      <c r="B31" s="196"/>
      <c r="C31" s="1544"/>
      <c r="D31" s="936" t="s">
        <v>48</v>
      </c>
      <c r="E31" s="1016">
        <v>1725</v>
      </c>
      <c r="F31" s="1046">
        <v>1559</v>
      </c>
      <c r="G31" s="1043">
        <f t="shared" si="0"/>
        <v>-9.623188405797102</v>
      </c>
      <c r="H31" s="724">
        <v>0</v>
      </c>
      <c r="I31" s="725">
        <v>0</v>
      </c>
      <c r="J31" s="1051">
        <v>0</v>
      </c>
      <c r="K31" s="723">
        <f>N31*1000/E31</f>
        <v>23.18840579710145</v>
      </c>
      <c r="L31" s="729">
        <f>O31*1000/F31</f>
        <v>24.50288646568313</v>
      </c>
      <c r="M31" s="1043">
        <f>(L31/K31-1)*100</f>
        <v>5.6686978832585</v>
      </c>
      <c r="N31" s="1063">
        <v>40</v>
      </c>
      <c r="O31" s="1046">
        <v>38.2</v>
      </c>
      <c r="P31" s="1064">
        <f t="shared" si="1"/>
        <v>-4.499999999999993</v>
      </c>
      <c r="Q31" s="125"/>
      <c r="R31" s="57"/>
    </row>
    <row r="32" spans="1:18" ht="13.5" customHeight="1" thickBot="1">
      <c r="A32" s="431"/>
      <c r="B32" s="196"/>
      <c r="C32" s="1545"/>
      <c r="D32" s="935" t="s">
        <v>127</v>
      </c>
      <c r="E32" s="689">
        <f>E30+E31</f>
        <v>12587</v>
      </c>
      <c r="F32" s="1047">
        <f>F30+F31</f>
        <v>10009</v>
      </c>
      <c r="G32" s="1042">
        <f>(F32/E32-1)*100</f>
        <v>-20.481449114165407</v>
      </c>
      <c r="H32" s="1076">
        <f>N30*1000/E30</f>
        <v>8.534339900570798</v>
      </c>
      <c r="I32" s="1077">
        <f>O32*1000/F32</f>
        <v>12.818463382955342</v>
      </c>
      <c r="J32" s="1078">
        <f>(I32/H32-1)*100</f>
        <v>50.19865077201824</v>
      </c>
      <c r="K32" s="1076">
        <f>N31*1000/E31</f>
        <v>23.18840579710145</v>
      </c>
      <c r="L32" s="1079">
        <f>O31*1000/F31</f>
        <v>24.50288646568313</v>
      </c>
      <c r="M32" s="1080">
        <f>(L32/K32-1)*100</f>
        <v>5.6686978832585</v>
      </c>
      <c r="N32" s="1027">
        <f>N30+N31</f>
        <v>132.7</v>
      </c>
      <c r="O32" s="1038">
        <f>O30+O31</f>
        <v>128.3</v>
      </c>
      <c r="P32" s="430">
        <f>(O32/N32-1)*100</f>
        <v>-3.3157498116051065</v>
      </c>
      <c r="Q32" s="125"/>
      <c r="R32" s="57"/>
    </row>
    <row r="33" spans="1:19" ht="13.5" customHeight="1">
      <c r="A33" s="431"/>
      <c r="B33" s="196"/>
      <c r="C33" s="923"/>
      <c r="D33" s="1082" t="s">
        <v>47</v>
      </c>
      <c r="E33" s="1083">
        <f>E9+E10+E13+E16+E17+E18+E19+E21+E24+E27+E28+E29+E30</f>
        <v>1519389.8</v>
      </c>
      <c r="F33" s="1085">
        <f>F9+F10+F13+F16+F17+F18+F19+F21+F24+F27+F28+F29+F30</f>
        <v>1479810.3</v>
      </c>
      <c r="G33" s="1087">
        <f>(F33/E33-1)*100</f>
        <v>-2.6049602281126294</v>
      </c>
      <c r="H33" s="1529">
        <f t="shared" si="2"/>
        <v>21.4579563453697</v>
      </c>
      <c r="I33" s="1537">
        <f t="shared" si="2"/>
        <v>21.657032661551277</v>
      </c>
      <c r="J33" s="1527">
        <f>(I33/H33-1)*100</f>
        <v>0.9277505880681769</v>
      </c>
      <c r="K33" s="1529">
        <f>N34*1000/E34</f>
        <v>29.54185447302047</v>
      </c>
      <c r="L33" s="1537">
        <f>O34*1000/F34</f>
        <v>25.294168189135902</v>
      </c>
      <c r="M33" s="1527">
        <f>(L33/K33-1)*100</f>
        <v>-14.37853635005829</v>
      </c>
      <c r="N33" s="1083">
        <f>N9+N10+N13+N16+N17+N18+N19+N21+N24+N27+N28+N29+N30</f>
        <v>32602.999999999996</v>
      </c>
      <c r="O33" s="1088">
        <f>O9+O10+O13+O16+O17+O18+O19+O21+O24+O27+O28+O29+O30</f>
        <v>32048.299999999996</v>
      </c>
      <c r="P33" s="1086">
        <f>(O33/N33-1)*100</f>
        <v>-1.7013771738797034</v>
      </c>
      <c r="Q33" s="125"/>
      <c r="R33" s="57"/>
      <c r="S33" s="686" t="s">
        <v>306</v>
      </c>
    </row>
    <row r="34" spans="1:21" ht="13.5" customHeight="1" thickBot="1">
      <c r="A34" s="431"/>
      <c r="B34" s="196"/>
      <c r="C34" s="924" t="s">
        <v>477</v>
      </c>
      <c r="D34" s="1081" t="s">
        <v>48</v>
      </c>
      <c r="E34" s="926">
        <f>E7+E8+E11+E14+E20+E22+E25+E31</f>
        <v>441279</v>
      </c>
      <c r="F34" s="927">
        <f>F7+F8+F11+F14+F20+F22+F25+F31</f>
        <v>442264</v>
      </c>
      <c r="G34" s="888">
        <f>(F34/E34-1)*100</f>
        <v>0.22321479154912005</v>
      </c>
      <c r="H34" s="1530"/>
      <c r="I34" s="1538"/>
      <c r="J34" s="1528"/>
      <c r="K34" s="1530"/>
      <c r="L34" s="1538"/>
      <c r="M34" s="1528"/>
      <c r="N34" s="1089">
        <f>N7+N8+N11+N14+N20+N22+N25+N31</f>
        <v>13036.2</v>
      </c>
      <c r="O34" s="886">
        <f>O7+O8+O11+O14+O20+O22+O25+O31</f>
        <v>11186.7</v>
      </c>
      <c r="P34" s="888">
        <f>(O34/N34-1)*100</f>
        <v>-14.187416578450772</v>
      </c>
      <c r="Q34" s="125"/>
      <c r="R34" s="57"/>
      <c r="U34" s="1140"/>
    </row>
    <row r="35" spans="1:18" ht="13.5" customHeight="1" thickBot="1">
      <c r="A35" s="431"/>
      <c r="B35" s="196"/>
      <c r="C35" s="925"/>
      <c r="D35" s="884" t="s">
        <v>478</v>
      </c>
      <c r="E35" s="926">
        <f>E33+E34</f>
        <v>1960668.8</v>
      </c>
      <c r="F35" s="927">
        <f>F33+F34</f>
        <v>1922074.3</v>
      </c>
      <c r="G35" s="928">
        <f t="shared" si="0"/>
        <v>-1.9684354644700863</v>
      </c>
      <c r="H35" s="1499">
        <f>N35*1000/E35</f>
        <v>23.277363316027675</v>
      </c>
      <c r="I35" s="1500"/>
      <c r="J35" s="1499">
        <f>O35*1000/F35</f>
        <v>22.493927524029637</v>
      </c>
      <c r="K35" s="1500"/>
      <c r="L35" s="1501">
        <f>(J35/H35-1)*100</f>
        <v>-3.3656552134433637</v>
      </c>
      <c r="M35" s="1502"/>
      <c r="N35" s="886">
        <f>N33+N34</f>
        <v>45639.2</v>
      </c>
      <c r="O35" s="929">
        <f>O33+O34</f>
        <v>43235</v>
      </c>
      <c r="P35" s="888">
        <f t="shared" si="1"/>
        <v>-5.26783992708022</v>
      </c>
      <c r="Q35" s="125"/>
      <c r="R35" s="57"/>
    </row>
    <row r="36" spans="1:18" ht="15" customHeight="1">
      <c r="A36" s="431"/>
      <c r="B36" s="196"/>
      <c r="C36" s="181" t="s">
        <v>329</v>
      </c>
      <c r="D36" s="684"/>
      <c r="E36" s="433"/>
      <c r="F36" s="433"/>
      <c r="G36" s="433"/>
      <c r="H36" s="433"/>
      <c r="I36" s="433"/>
      <c r="J36" s="433"/>
      <c r="K36" s="433"/>
      <c r="L36" s="433"/>
      <c r="M36" s="433"/>
      <c r="N36" s="433"/>
      <c r="O36" s="433"/>
      <c r="P36" s="433"/>
      <c r="Q36" s="179"/>
      <c r="R36" s="57"/>
    </row>
    <row r="37" spans="1:18" ht="15">
      <c r="A37" s="431"/>
      <c r="B37" s="431"/>
      <c r="C37" s="431"/>
      <c r="D37" s="432"/>
      <c r="E37" s="57"/>
      <c r="F37" s="57"/>
      <c r="G37" s="57"/>
      <c r="H37" s="57"/>
      <c r="I37" s="57"/>
      <c r="J37" s="57"/>
      <c r="K37" s="57"/>
      <c r="L37" s="57"/>
      <c r="M37" s="57"/>
      <c r="N37" s="57"/>
      <c r="O37" s="57"/>
      <c r="P37" s="57"/>
      <c r="Q37" s="57"/>
      <c r="R37" s="57"/>
    </row>
    <row r="38" spans="4:18" ht="15">
      <c r="D38"/>
      <c r="E38"/>
      <c r="F38" s="4"/>
      <c r="G38" s="4"/>
      <c r="H38"/>
      <c r="I38" s="4"/>
      <c r="J38" s="4"/>
      <c r="K38"/>
      <c r="L38" s="4"/>
      <c r="M38" s="4"/>
      <c r="N38"/>
      <c r="O38" s="4"/>
      <c r="P38" s="4"/>
      <c r="Q38"/>
      <c r="R38"/>
    </row>
    <row r="39" spans="4:18" ht="15">
      <c r="D39"/>
      <c r="E39"/>
      <c r="F39"/>
      <c r="G39"/>
      <c r="H39"/>
      <c r="I39"/>
      <c r="J39"/>
      <c r="K39"/>
      <c r="L39"/>
      <c r="M39"/>
      <c r="N39"/>
      <c r="O39"/>
      <c r="P39"/>
      <c r="Q39"/>
      <c r="R39"/>
    </row>
    <row r="40" spans="4:16" ht="15">
      <c r="D40"/>
      <c r="E40"/>
      <c r="F40"/>
      <c r="G40"/>
      <c r="H40"/>
      <c r="I40"/>
      <c r="J40"/>
      <c r="K40"/>
      <c r="L40"/>
      <c r="M40"/>
      <c r="N40"/>
      <c r="O40"/>
      <c r="P40"/>
    </row>
    <row r="41" spans="4:16" ht="15">
      <c r="D41"/>
      <c r="E41"/>
      <c r="F41"/>
      <c r="G41"/>
      <c r="H41"/>
      <c r="I41"/>
      <c r="J41"/>
      <c r="K41"/>
      <c r="L41"/>
      <c r="M41"/>
      <c r="N41"/>
      <c r="O41"/>
      <c r="P41"/>
    </row>
    <row r="42" spans="4:16" ht="15">
      <c r="D42"/>
      <c r="E42"/>
      <c r="F42"/>
      <c r="G42"/>
      <c r="H42"/>
      <c r="I42"/>
      <c r="J42"/>
      <c r="K42"/>
      <c r="L42"/>
      <c r="M42"/>
      <c r="N42"/>
      <c r="O42"/>
      <c r="P42"/>
    </row>
    <row r="43" spans="4:16" ht="15">
      <c r="D43"/>
      <c r="E43"/>
      <c r="F43"/>
      <c r="G43"/>
      <c r="H43"/>
      <c r="I43"/>
      <c r="J43"/>
      <c r="K43"/>
      <c r="L43"/>
      <c r="M43"/>
      <c r="N43"/>
      <c r="O43"/>
      <c r="P43"/>
    </row>
    <row r="44" spans="4:16" ht="15">
      <c r="D44"/>
      <c r="E44"/>
      <c r="F44"/>
      <c r="G44"/>
      <c r="H44"/>
      <c r="I44"/>
      <c r="J44"/>
      <c r="K44"/>
      <c r="L44"/>
      <c r="M44"/>
      <c r="N44"/>
      <c r="O44"/>
      <c r="P44"/>
    </row>
    <row r="45" spans="4:16" ht="15">
      <c r="D45"/>
      <c r="E45"/>
      <c r="F45"/>
      <c r="G45"/>
      <c r="H45"/>
      <c r="I45"/>
      <c r="J45"/>
      <c r="K45"/>
      <c r="L45"/>
      <c r="M45"/>
      <c r="N45"/>
      <c r="O45"/>
      <c r="P45"/>
    </row>
    <row r="46" spans="4:16" ht="15">
      <c r="D46"/>
      <c r="E46"/>
      <c r="F46"/>
      <c r="G46"/>
      <c r="H46"/>
      <c r="I46"/>
      <c r="J46"/>
      <c r="K46"/>
      <c r="L46"/>
      <c r="M46"/>
      <c r="N46"/>
      <c r="O46"/>
      <c r="P46"/>
    </row>
    <row r="47" spans="4:16" ht="15">
      <c r="D47"/>
      <c r="E47"/>
      <c r="F47"/>
      <c r="G47"/>
      <c r="H47"/>
      <c r="I47"/>
      <c r="J47"/>
      <c r="K47"/>
      <c r="L47"/>
      <c r="M47"/>
      <c r="N47"/>
      <c r="O47"/>
      <c r="P47"/>
    </row>
    <row r="48" spans="4:16" ht="15">
      <c r="D48"/>
      <c r="E48"/>
      <c r="F48"/>
      <c r="G48"/>
      <c r="H48"/>
      <c r="I48"/>
      <c r="J48"/>
      <c r="K48"/>
      <c r="L48"/>
      <c r="M48"/>
      <c r="N48"/>
      <c r="O48"/>
      <c r="P48"/>
    </row>
    <row r="49" spans="4:16" ht="15">
      <c r="D49"/>
      <c r="E49"/>
      <c r="F49"/>
      <c r="G49"/>
      <c r="H49"/>
      <c r="I49"/>
      <c r="J49"/>
      <c r="K49"/>
      <c r="L49"/>
      <c r="M49"/>
      <c r="N49"/>
      <c r="O49"/>
      <c r="P49"/>
    </row>
    <row r="50" spans="4:16" ht="15">
      <c r="D50"/>
      <c r="E50"/>
      <c r="F50"/>
      <c r="G50"/>
      <c r="H50"/>
      <c r="I50"/>
      <c r="J50"/>
      <c r="K50"/>
      <c r="L50"/>
      <c r="M50"/>
      <c r="N50"/>
      <c r="O50"/>
      <c r="P50"/>
    </row>
    <row r="51" spans="4:16" ht="15">
      <c r="D51"/>
      <c r="E51"/>
      <c r="F51"/>
      <c r="G51"/>
      <c r="H51"/>
      <c r="I51"/>
      <c r="J51"/>
      <c r="K51"/>
      <c r="L51"/>
      <c r="M51"/>
      <c r="N51"/>
      <c r="O51"/>
      <c r="P51"/>
    </row>
    <row r="52" spans="4:16" ht="15">
      <c r="D52"/>
      <c r="E52"/>
      <c r="F52"/>
      <c r="G52"/>
      <c r="H52"/>
      <c r="I52"/>
      <c r="J52"/>
      <c r="K52"/>
      <c r="L52"/>
      <c r="M52"/>
      <c r="N52"/>
      <c r="O52"/>
      <c r="P52"/>
    </row>
    <row r="53" spans="4:16" ht="15">
      <c r="D53"/>
      <c r="E53"/>
      <c r="F53"/>
      <c r="G53"/>
      <c r="H53"/>
      <c r="I53"/>
      <c r="J53"/>
      <c r="K53"/>
      <c r="L53"/>
      <c r="M53"/>
      <c r="N53"/>
      <c r="O53"/>
      <c r="P53"/>
    </row>
    <row r="54" spans="4:16" ht="15">
      <c r="D54"/>
      <c r="E54"/>
      <c r="F54"/>
      <c r="G54"/>
      <c r="H54"/>
      <c r="I54"/>
      <c r="J54"/>
      <c r="K54"/>
      <c r="L54"/>
      <c r="M54"/>
      <c r="N54"/>
      <c r="O54"/>
      <c r="P54"/>
    </row>
    <row r="55" spans="4:16" ht="15">
      <c r="D55"/>
      <c r="E55"/>
      <c r="F55"/>
      <c r="G55"/>
      <c r="H55"/>
      <c r="I55"/>
      <c r="J55"/>
      <c r="K55"/>
      <c r="L55"/>
      <c r="M55"/>
      <c r="N55"/>
      <c r="O55"/>
      <c r="P55"/>
    </row>
    <row r="56" spans="4:16" ht="15">
      <c r="D56"/>
      <c r="E56"/>
      <c r="F56"/>
      <c r="G56"/>
      <c r="H56"/>
      <c r="I56"/>
      <c r="J56"/>
      <c r="K56"/>
      <c r="L56"/>
      <c r="M56"/>
      <c r="N56"/>
      <c r="O56"/>
      <c r="P56"/>
    </row>
    <row r="57" spans="4:16" ht="15">
      <c r="D57"/>
      <c r="E57"/>
      <c r="F57"/>
      <c r="G57"/>
      <c r="H57"/>
      <c r="I57"/>
      <c r="J57"/>
      <c r="K57"/>
      <c r="L57"/>
      <c r="M57"/>
      <c r="N57"/>
      <c r="O57"/>
      <c r="P57"/>
    </row>
    <row r="58" spans="4:16" ht="15">
      <c r="D58"/>
      <c r="E58"/>
      <c r="F58"/>
      <c r="G58"/>
      <c r="H58"/>
      <c r="I58"/>
      <c r="J58"/>
      <c r="K58"/>
      <c r="L58"/>
      <c r="M58"/>
      <c r="N58"/>
      <c r="O58"/>
      <c r="P58"/>
    </row>
    <row r="59" spans="4:16" ht="15">
      <c r="D59"/>
      <c r="E59"/>
      <c r="F59"/>
      <c r="G59"/>
      <c r="H59"/>
      <c r="I59"/>
      <c r="J59"/>
      <c r="K59"/>
      <c r="L59"/>
      <c r="M59"/>
      <c r="N59"/>
      <c r="O59"/>
      <c r="P59"/>
    </row>
    <row r="60" spans="4:16" ht="15">
      <c r="D60"/>
      <c r="E60"/>
      <c r="F60"/>
      <c r="G60"/>
      <c r="H60"/>
      <c r="I60"/>
      <c r="J60"/>
      <c r="K60"/>
      <c r="L60"/>
      <c r="M60"/>
      <c r="N60"/>
      <c r="O60"/>
      <c r="P60"/>
    </row>
    <row r="61" spans="4:16" ht="15">
      <c r="D61"/>
      <c r="E61"/>
      <c r="F61"/>
      <c r="G61"/>
      <c r="H61"/>
      <c r="I61"/>
      <c r="J61"/>
      <c r="K61"/>
      <c r="L61"/>
      <c r="M61"/>
      <c r="N61"/>
      <c r="O61"/>
      <c r="P61"/>
    </row>
    <row r="62" ht="15">
      <c r="D62"/>
    </row>
  </sheetData>
  <sheetProtection/>
  <mergeCells count="25">
    <mergeCell ref="J33:J34"/>
    <mergeCell ref="K33:K34"/>
    <mergeCell ref="L33:L34"/>
    <mergeCell ref="M33:M34"/>
    <mergeCell ref="C17:C23"/>
    <mergeCell ref="C24:C26"/>
    <mergeCell ref="C30:C32"/>
    <mergeCell ref="H33:H34"/>
    <mergeCell ref="I33:I34"/>
    <mergeCell ref="A1:R1"/>
    <mergeCell ref="B2:Q2"/>
    <mergeCell ref="H35:I35"/>
    <mergeCell ref="J35:K35"/>
    <mergeCell ref="L35:M35"/>
    <mergeCell ref="H4:M4"/>
    <mergeCell ref="C3:P3"/>
    <mergeCell ref="C4:D6"/>
    <mergeCell ref="E4:G4"/>
    <mergeCell ref="N4:P4"/>
    <mergeCell ref="E5:G5"/>
    <mergeCell ref="H5:J5"/>
    <mergeCell ref="K5:M5"/>
    <mergeCell ref="N5:P5"/>
    <mergeCell ref="C9:C12"/>
    <mergeCell ref="C13:C15"/>
  </mergeCells>
  <printOptions horizontalCentered="1"/>
  <pageMargins left="1.220472440944882" right="0.5118110236220472" top="0.7874015748031497" bottom="0.7874015748031497" header="0.31496062992125984" footer="0.31496062992125984"/>
  <pageSetup horizontalDpi="600" verticalDpi="600" orientation="landscape" paperSize="9" scale="95" r:id="rId1"/>
</worksheet>
</file>

<file path=xl/worksheets/sheet28.xml><?xml version="1.0" encoding="utf-8"?>
<worksheet xmlns="http://schemas.openxmlformats.org/spreadsheetml/2006/main" xmlns:r="http://schemas.openxmlformats.org/officeDocument/2006/relationships">
  <dimension ref="A1:W62"/>
  <sheetViews>
    <sheetView zoomScalePageLayoutView="0" workbookViewId="0" topLeftCell="A1">
      <selection activeCell="S32" sqref="S32"/>
    </sheetView>
  </sheetViews>
  <sheetFormatPr defaultColWidth="9.140625" defaultRowHeight="12.75"/>
  <cols>
    <col min="1" max="2" width="2.7109375" style="1" customWidth="1"/>
    <col min="3" max="3" width="8.7109375" style="1" customWidth="1"/>
    <col min="4" max="4" width="19.7109375" style="27" customWidth="1"/>
    <col min="5" max="6" width="10.7109375" style="27" customWidth="1"/>
    <col min="7" max="7" width="6.7109375" style="27" bestFit="1" customWidth="1"/>
    <col min="8" max="13" width="6.7109375" style="27" customWidth="1"/>
    <col min="14" max="15" width="7.7109375" style="27" bestFit="1" customWidth="1"/>
    <col min="16" max="16" width="8.28125" style="27" bestFit="1" customWidth="1"/>
    <col min="17" max="18" width="2.7109375" style="1" customWidth="1"/>
    <col min="19" max="16384" width="9.140625" style="1" customWidth="1"/>
  </cols>
  <sheetData>
    <row r="1" spans="1:18" ht="15" customHeight="1">
      <c r="A1" s="1498" t="s">
        <v>531</v>
      </c>
      <c r="B1" s="1498"/>
      <c r="C1" s="1498"/>
      <c r="D1" s="1498"/>
      <c r="E1" s="1498"/>
      <c r="F1" s="1498"/>
      <c r="G1" s="1498"/>
      <c r="H1" s="1498"/>
      <c r="I1" s="1498"/>
      <c r="J1" s="1498"/>
      <c r="K1" s="1498"/>
      <c r="L1" s="1498"/>
      <c r="M1" s="1498"/>
      <c r="N1" s="1498"/>
      <c r="O1" s="1498"/>
      <c r="P1" s="1498"/>
      <c r="Q1" s="1498"/>
      <c r="R1" s="1498"/>
    </row>
    <row r="2" spans="1:18" ht="15.75">
      <c r="A2" s="431"/>
      <c r="B2" s="196"/>
      <c r="C2" s="1507" t="s">
        <v>386</v>
      </c>
      <c r="D2" s="1507"/>
      <c r="E2" s="1507"/>
      <c r="F2" s="1507"/>
      <c r="G2" s="1507"/>
      <c r="H2" s="1507"/>
      <c r="I2" s="1507"/>
      <c r="J2" s="1507"/>
      <c r="K2" s="1507"/>
      <c r="L2" s="1507"/>
      <c r="M2" s="1507"/>
      <c r="N2" s="1507"/>
      <c r="O2" s="1507"/>
      <c r="P2" s="1507"/>
      <c r="Q2" s="179"/>
      <c r="R2" s="57"/>
    </row>
    <row r="3" spans="1:18" ht="13.5" customHeight="1" thickBot="1">
      <c r="A3" s="431"/>
      <c r="B3" s="196"/>
      <c r="C3" s="1508" t="s">
        <v>430</v>
      </c>
      <c r="D3" s="1508"/>
      <c r="E3" s="1508"/>
      <c r="F3" s="1508"/>
      <c r="G3" s="1508"/>
      <c r="H3" s="1508"/>
      <c r="I3" s="1508"/>
      <c r="J3" s="1508"/>
      <c r="K3" s="1508"/>
      <c r="L3" s="1508"/>
      <c r="M3" s="1508"/>
      <c r="N3" s="1508"/>
      <c r="O3" s="1508"/>
      <c r="P3" s="1508"/>
      <c r="Q3" s="179"/>
      <c r="R3" s="57"/>
    </row>
    <row r="4" spans="1:18" ht="10.5" customHeight="1" thickBot="1">
      <c r="A4" s="431"/>
      <c r="B4" s="196"/>
      <c r="C4" s="1506" t="s">
        <v>396</v>
      </c>
      <c r="D4" s="1506"/>
      <c r="E4" s="1510" t="s">
        <v>395</v>
      </c>
      <c r="F4" s="1511"/>
      <c r="G4" s="1512"/>
      <c r="H4" s="1503" t="s">
        <v>440</v>
      </c>
      <c r="I4" s="1504"/>
      <c r="J4" s="1504"/>
      <c r="K4" s="1504"/>
      <c r="L4" s="1504"/>
      <c r="M4" s="1505"/>
      <c r="N4" s="1506" t="s">
        <v>333</v>
      </c>
      <c r="O4" s="1506"/>
      <c r="P4" s="1506"/>
      <c r="Q4" s="125"/>
      <c r="R4" s="57"/>
    </row>
    <row r="5" spans="1:18" ht="15.75" customHeight="1" thickBot="1">
      <c r="A5" s="431"/>
      <c r="B5" s="196"/>
      <c r="C5" s="1506"/>
      <c r="D5" s="1506"/>
      <c r="E5" s="1546" t="s">
        <v>393</v>
      </c>
      <c r="F5" s="1547"/>
      <c r="G5" s="1548"/>
      <c r="H5" s="1514" t="s">
        <v>448</v>
      </c>
      <c r="I5" s="1514"/>
      <c r="J5" s="1515"/>
      <c r="K5" s="1513" t="s">
        <v>447</v>
      </c>
      <c r="L5" s="1514"/>
      <c r="M5" s="1515"/>
      <c r="N5" s="1513" t="s">
        <v>394</v>
      </c>
      <c r="O5" s="1514"/>
      <c r="P5" s="1514"/>
      <c r="Q5" s="125"/>
      <c r="R5" s="57"/>
    </row>
    <row r="6" spans="1:18" ht="10.5" customHeight="1" thickBot="1">
      <c r="A6" s="431"/>
      <c r="B6" s="196"/>
      <c r="C6" s="1509"/>
      <c r="D6" s="1509"/>
      <c r="E6" s="1121">
        <v>2013</v>
      </c>
      <c r="F6" s="1122">
        <v>2014</v>
      </c>
      <c r="G6" s="1123" t="s">
        <v>12</v>
      </c>
      <c r="H6" s="879">
        <v>2013</v>
      </c>
      <c r="I6" s="880">
        <v>2014</v>
      </c>
      <c r="J6" s="881" t="s">
        <v>12</v>
      </c>
      <c r="K6" s="879">
        <v>2013</v>
      </c>
      <c r="L6" s="880">
        <v>2014</v>
      </c>
      <c r="M6" s="881" t="s">
        <v>12</v>
      </c>
      <c r="N6" s="879">
        <v>2013</v>
      </c>
      <c r="O6" s="880">
        <v>2014</v>
      </c>
      <c r="P6" s="883" t="s">
        <v>12</v>
      </c>
      <c r="Q6" s="125"/>
      <c r="R6" s="57"/>
    </row>
    <row r="7" spans="1:18" ht="13.5" customHeight="1">
      <c r="A7" s="431"/>
      <c r="B7" s="196"/>
      <c r="C7" s="932" t="s">
        <v>3</v>
      </c>
      <c r="D7" s="1032" t="s">
        <v>48</v>
      </c>
      <c r="E7" s="710">
        <v>102840</v>
      </c>
      <c r="F7" s="711">
        <v>86004</v>
      </c>
      <c r="G7" s="1093">
        <f aca="true" t="shared" si="0" ref="G7:G35">(F7/E7-1)*100</f>
        <v>-16.37106184364061</v>
      </c>
      <c r="H7" s="715">
        <v>0</v>
      </c>
      <c r="I7" s="716">
        <v>0</v>
      </c>
      <c r="J7" s="717">
        <v>0</v>
      </c>
      <c r="K7" s="718">
        <f>N7*1000/E7</f>
        <v>13.195254764683003</v>
      </c>
      <c r="L7" s="719">
        <f>O7*1000/F7</f>
        <v>17.17710804148644</v>
      </c>
      <c r="M7" s="717">
        <f>(L7/K7-1)*100</f>
        <v>30.176403167757226</v>
      </c>
      <c r="N7" s="1097">
        <v>1357</v>
      </c>
      <c r="O7" s="705">
        <v>1477.3</v>
      </c>
      <c r="P7" s="706">
        <f aca="true" t="shared" si="1" ref="P7:P35">(O7/N7-1)*100</f>
        <v>8.865143699336775</v>
      </c>
      <c r="Q7" s="125"/>
      <c r="R7" s="57"/>
    </row>
    <row r="8" spans="1:18" ht="13.5" customHeight="1">
      <c r="A8" s="431"/>
      <c r="B8" s="196"/>
      <c r="C8" s="878" t="s">
        <v>4</v>
      </c>
      <c r="D8" s="1033" t="s">
        <v>48</v>
      </c>
      <c r="E8" s="690">
        <v>6383</v>
      </c>
      <c r="F8" s="683">
        <v>4377</v>
      </c>
      <c r="G8" s="1041">
        <f t="shared" si="0"/>
        <v>-31.427228575904742</v>
      </c>
      <c r="H8" s="720">
        <v>0</v>
      </c>
      <c r="I8" s="721">
        <v>0</v>
      </c>
      <c r="J8" s="722">
        <v>0</v>
      </c>
      <c r="K8" s="700">
        <f>N8*1000/E8</f>
        <v>19.066269779100736</v>
      </c>
      <c r="L8" s="729">
        <f>O8*1000/F8</f>
        <v>15.695681973954764</v>
      </c>
      <c r="M8" s="722">
        <f>(L8/K8-1)*100</f>
        <v>-17.678276056077845</v>
      </c>
      <c r="N8" s="698">
        <v>121.7</v>
      </c>
      <c r="O8" s="697">
        <v>68.7</v>
      </c>
      <c r="P8" s="429">
        <f t="shared" si="1"/>
        <v>-43.54971240755957</v>
      </c>
      <c r="Q8" s="125"/>
      <c r="R8" s="57"/>
    </row>
    <row r="9" spans="1:18" ht="13.5" customHeight="1">
      <c r="A9" s="431"/>
      <c r="B9" s="196"/>
      <c r="C9" s="1516" t="s">
        <v>5</v>
      </c>
      <c r="D9" s="1021" t="s">
        <v>383</v>
      </c>
      <c r="E9" s="688">
        <v>11858.2</v>
      </c>
      <c r="F9" s="931">
        <v>11973</v>
      </c>
      <c r="G9" s="1036">
        <f t="shared" si="0"/>
        <v>0.968106457978446</v>
      </c>
      <c r="H9" s="1017">
        <f aca="true" t="shared" si="2" ref="H9:I30">N9*1000/E9</f>
        <v>33.64760250290938</v>
      </c>
      <c r="I9" s="1053">
        <f t="shared" si="2"/>
        <v>36.34009855508227</v>
      </c>
      <c r="J9" s="1037">
        <f>(I9/H9-1)*100</f>
        <v>8.002044282174591</v>
      </c>
      <c r="K9" s="727">
        <v>0</v>
      </c>
      <c r="L9" s="1018">
        <v>0</v>
      </c>
      <c r="M9" s="1019">
        <v>0</v>
      </c>
      <c r="N9" s="1029">
        <v>399</v>
      </c>
      <c r="O9" s="472">
        <v>435.1</v>
      </c>
      <c r="P9" s="1014">
        <f t="shared" si="1"/>
        <v>9.04761904761906</v>
      </c>
      <c r="Q9" s="125"/>
      <c r="R9" s="57"/>
    </row>
    <row r="10" spans="1:18" ht="13.5" customHeight="1">
      <c r="A10" s="431"/>
      <c r="B10" s="196"/>
      <c r="C10" s="1517"/>
      <c r="D10" s="1021" t="s">
        <v>384</v>
      </c>
      <c r="E10" s="688">
        <v>98473.7</v>
      </c>
      <c r="F10" s="931">
        <v>99366</v>
      </c>
      <c r="G10" s="1036">
        <f t="shared" si="0"/>
        <v>0.9061302662538351</v>
      </c>
      <c r="H10" s="933">
        <f t="shared" si="2"/>
        <v>6.916567570833634</v>
      </c>
      <c r="I10" s="1054">
        <f t="shared" si="2"/>
        <v>9.01918161141638</v>
      </c>
      <c r="J10" s="1037">
        <f>(I10/H10-1)*100</f>
        <v>30.39967468038953</v>
      </c>
      <c r="K10" s="727">
        <v>0</v>
      </c>
      <c r="L10" s="1045">
        <v>0</v>
      </c>
      <c r="M10" s="1037">
        <v>0</v>
      </c>
      <c r="N10" s="694">
        <v>681.1</v>
      </c>
      <c r="O10" s="1113">
        <v>896.2</v>
      </c>
      <c r="P10" s="1022">
        <f t="shared" si="1"/>
        <v>31.581265599765086</v>
      </c>
      <c r="Q10" s="125"/>
      <c r="R10" s="57"/>
    </row>
    <row r="11" spans="1:18" ht="13.5" customHeight="1">
      <c r="A11" s="431"/>
      <c r="B11" s="196"/>
      <c r="C11" s="1517"/>
      <c r="D11" s="930" t="s">
        <v>385</v>
      </c>
      <c r="E11" s="688">
        <v>24178.9</v>
      </c>
      <c r="F11" s="934">
        <v>32600</v>
      </c>
      <c r="G11" s="1040">
        <f t="shared" si="0"/>
        <v>34.82830070846894</v>
      </c>
      <c r="H11" s="724">
        <v>0</v>
      </c>
      <c r="I11" s="725">
        <v>0</v>
      </c>
      <c r="J11" s="1043">
        <v>0</v>
      </c>
      <c r="K11" s="723">
        <f>N11*1000/E11</f>
        <v>29.918648077455963</v>
      </c>
      <c r="L11" s="729">
        <f>O11*1000/F11</f>
        <v>31.901840490797547</v>
      </c>
      <c r="M11" s="1043">
        <f>(L11/K11-1)*100</f>
        <v>6.62861640073884</v>
      </c>
      <c r="N11" s="693">
        <v>723.4</v>
      </c>
      <c r="O11" s="1113">
        <v>1040</v>
      </c>
      <c r="P11" s="1064">
        <f t="shared" si="1"/>
        <v>43.765551562068005</v>
      </c>
      <c r="Q11" s="125"/>
      <c r="R11" s="57"/>
    </row>
    <row r="12" spans="1:18" ht="13.5" customHeight="1">
      <c r="A12" s="431"/>
      <c r="B12" s="196"/>
      <c r="C12" s="1518"/>
      <c r="D12" s="1100" t="s">
        <v>127</v>
      </c>
      <c r="E12" s="696">
        <f>E9+E10+E11</f>
        <v>134510.8</v>
      </c>
      <c r="F12" s="703">
        <f>F9+F10+F11</f>
        <v>143939</v>
      </c>
      <c r="G12" s="1041">
        <f>(F12/E12-1)*100</f>
        <v>7.009251301754227</v>
      </c>
      <c r="H12" s="700">
        <f>SUM(N9+N10)*1000/SUM(E9+E10)</f>
        <v>9.78955315733709</v>
      </c>
      <c r="I12" s="1105">
        <f>SUM(O9+O10)*1000/SUM(F9+F10)</f>
        <v>11.957175832367815</v>
      </c>
      <c r="J12" s="1103">
        <f>(I12/H12-1)*100</f>
        <v>22.142202408964206</v>
      </c>
      <c r="K12" s="700">
        <f>N11*1000/E11</f>
        <v>29.918648077455963</v>
      </c>
      <c r="L12" s="1105">
        <f>O11*1000/F11</f>
        <v>31.901840490797547</v>
      </c>
      <c r="M12" s="1103">
        <f>(L12/K12-1)*100</f>
        <v>6.62861640073884</v>
      </c>
      <c r="N12" s="696">
        <f>N9+N10+N11</f>
        <v>1803.5</v>
      </c>
      <c r="O12" s="703">
        <f>O9+O10+O11</f>
        <v>2371.3</v>
      </c>
      <c r="P12" s="1049">
        <f>(O12/N12-1)*100</f>
        <v>31.483227058497377</v>
      </c>
      <c r="Q12" s="125"/>
      <c r="R12" s="57"/>
    </row>
    <row r="13" spans="1:18" ht="13.5" customHeight="1">
      <c r="A13" s="431"/>
      <c r="B13" s="196"/>
      <c r="C13" s="1516" t="s">
        <v>9</v>
      </c>
      <c r="D13" s="1024" t="s">
        <v>47</v>
      </c>
      <c r="E13" s="1091">
        <v>85</v>
      </c>
      <c r="F13" s="931">
        <v>135</v>
      </c>
      <c r="G13" s="1094">
        <f t="shared" si="0"/>
        <v>58.823529411764696</v>
      </c>
      <c r="H13" s="1017">
        <f t="shared" si="2"/>
        <v>18.823529411764707</v>
      </c>
      <c r="I13" s="1053">
        <f t="shared" si="2"/>
        <v>14.814814814814815</v>
      </c>
      <c r="J13" s="1104">
        <f aca="true" t="shared" si="3" ref="J13:J30">(I13/H13-1)*100</f>
        <v>-21.2962962962963</v>
      </c>
      <c r="K13" s="1025">
        <v>0</v>
      </c>
      <c r="L13" s="1059">
        <v>0</v>
      </c>
      <c r="M13" s="1104">
        <v>0</v>
      </c>
      <c r="N13" s="1061">
        <v>1.6</v>
      </c>
      <c r="O13" s="1114">
        <v>2</v>
      </c>
      <c r="P13" s="1111">
        <f t="shared" si="1"/>
        <v>25</v>
      </c>
      <c r="Q13" s="125"/>
      <c r="R13" s="57"/>
    </row>
    <row r="14" spans="1:18" ht="13.5" customHeight="1">
      <c r="A14" s="431"/>
      <c r="B14" s="196"/>
      <c r="C14" s="1517"/>
      <c r="D14" s="1070" t="s">
        <v>48</v>
      </c>
      <c r="E14" s="937">
        <v>20805</v>
      </c>
      <c r="F14" s="934">
        <v>19980</v>
      </c>
      <c r="G14" s="1040">
        <f t="shared" si="0"/>
        <v>-3.965392934390777</v>
      </c>
      <c r="H14" s="724">
        <v>0</v>
      </c>
      <c r="I14" s="725">
        <v>0</v>
      </c>
      <c r="J14" s="1043">
        <v>0</v>
      </c>
      <c r="K14" s="723">
        <f>N14*1000/E14</f>
        <v>8.166306176399903</v>
      </c>
      <c r="L14" s="729">
        <f>O14*1000/F14</f>
        <v>8.198198198198199</v>
      </c>
      <c r="M14" s="1043">
        <f>(L14/K14-1)*100</f>
        <v>0.3905317913558193</v>
      </c>
      <c r="N14" s="694">
        <v>169.9</v>
      </c>
      <c r="O14" s="1113">
        <v>163.8</v>
      </c>
      <c r="P14" s="1022">
        <f t="shared" si="1"/>
        <v>-3.5903472630959388</v>
      </c>
      <c r="Q14" s="125"/>
      <c r="R14" s="57"/>
    </row>
    <row r="15" spans="1:18" ht="13.5" customHeight="1">
      <c r="A15" s="431"/>
      <c r="B15" s="196"/>
      <c r="C15" s="1518"/>
      <c r="D15" s="699" t="s">
        <v>127</v>
      </c>
      <c r="E15" s="1015">
        <f>E13+E14</f>
        <v>20890</v>
      </c>
      <c r="F15" s="685">
        <f>F13+F14</f>
        <v>20115</v>
      </c>
      <c r="G15" s="1042">
        <f>(F15/E15-1)*100</f>
        <v>-3.709909047391091</v>
      </c>
      <c r="H15" s="723">
        <f>N13*1000/E13</f>
        <v>18.823529411764707</v>
      </c>
      <c r="I15" s="1106">
        <f>O13*1000/F13</f>
        <v>14.814814814814815</v>
      </c>
      <c r="J15" s="1043">
        <f>(I15/H15-1)*100</f>
        <v>-21.2962962962963</v>
      </c>
      <c r="K15" s="723">
        <f>N14*1000/E14</f>
        <v>8.166306176399903</v>
      </c>
      <c r="L15" s="1106">
        <f>O14*1000/F14</f>
        <v>8.198198198198199</v>
      </c>
      <c r="M15" s="1043">
        <f>(L15/K15-1)*100</f>
        <v>0.3905317913558193</v>
      </c>
      <c r="N15" s="692">
        <f>N13+N14</f>
        <v>171.5</v>
      </c>
      <c r="O15" s="685">
        <f>O13+O14</f>
        <v>165.8</v>
      </c>
      <c r="P15" s="1049">
        <f>(O15/N15-1)*100</f>
        <v>-3.3236151603498465</v>
      </c>
      <c r="Q15" s="125"/>
      <c r="R15" s="57"/>
    </row>
    <row r="16" spans="1:18" ht="13.5" customHeight="1">
      <c r="A16" s="431"/>
      <c r="B16" s="196"/>
      <c r="C16" s="876" t="s">
        <v>10</v>
      </c>
      <c r="D16" s="1099" t="s">
        <v>47</v>
      </c>
      <c r="E16" s="689">
        <v>6382.6</v>
      </c>
      <c r="F16" s="1119">
        <v>6136.8</v>
      </c>
      <c r="G16" s="1042">
        <f t="shared" si="0"/>
        <v>-3.8510951649797898</v>
      </c>
      <c r="H16" s="723">
        <f t="shared" si="2"/>
        <v>41.61313571271895</v>
      </c>
      <c r="I16" s="1107">
        <f t="shared" si="2"/>
        <v>38.55429539825316</v>
      </c>
      <c r="J16" s="1043">
        <f t="shared" si="3"/>
        <v>-7.350660463520087</v>
      </c>
      <c r="K16" s="1092">
        <v>0</v>
      </c>
      <c r="L16" s="1046">
        <v>0</v>
      </c>
      <c r="M16" s="1043">
        <v>0</v>
      </c>
      <c r="N16" s="707">
        <v>265.6</v>
      </c>
      <c r="O16" s="1115">
        <v>236.6</v>
      </c>
      <c r="P16" s="1052">
        <f t="shared" si="1"/>
        <v>-10.918674698795193</v>
      </c>
      <c r="Q16" s="125"/>
      <c r="R16" s="57"/>
    </row>
    <row r="17" spans="1:18" ht="13.5" customHeight="1">
      <c r="A17" s="431"/>
      <c r="B17" s="196"/>
      <c r="C17" s="1520" t="s">
        <v>7</v>
      </c>
      <c r="D17" s="1028" t="s">
        <v>392</v>
      </c>
      <c r="E17" s="688">
        <v>521187</v>
      </c>
      <c r="F17" s="931">
        <v>501214</v>
      </c>
      <c r="G17" s="1036">
        <f t="shared" si="0"/>
        <v>-3.832213773559201</v>
      </c>
      <c r="H17" s="933">
        <f t="shared" si="2"/>
        <v>25.624200143134807</v>
      </c>
      <c r="I17" s="1054">
        <f t="shared" si="2"/>
        <v>21.555064303870203</v>
      </c>
      <c r="J17" s="1037">
        <f t="shared" si="3"/>
        <v>-15.880050173409222</v>
      </c>
      <c r="K17" s="727">
        <v>0</v>
      </c>
      <c r="L17" s="1045">
        <v>0</v>
      </c>
      <c r="M17" s="1037">
        <v>0</v>
      </c>
      <c r="N17" s="694">
        <v>13355</v>
      </c>
      <c r="O17" s="1113">
        <v>10803.7</v>
      </c>
      <c r="P17" s="1022">
        <f t="shared" si="1"/>
        <v>-19.103706476974914</v>
      </c>
      <c r="Q17" s="125"/>
      <c r="R17" s="57"/>
    </row>
    <row r="18" spans="1:18" ht="13.5" customHeight="1">
      <c r="A18" s="431"/>
      <c r="B18" s="196"/>
      <c r="C18" s="1520"/>
      <c r="D18" s="1030" t="s">
        <v>391</v>
      </c>
      <c r="E18" s="688">
        <v>169415</v>
      </c>
      <c r="F18" s="931">
        <v>174369</v>
      </c>
      <c r="G18" s="1036">
        <f t="shared" si="0"/>
        <v>2.924180267390719</v>
      </c>
      <c r="H18" s="933">
        <f t="shared" si="2"/>
        <v>30.7705929227046</v>
      </c>
      <c r="I18" s="1054">
        <f t="shared" si="2"/>
        <v>33.06493700141654</v>
      </c>
      <c r="J18" s="1037">
        <f t="shared" si="3"/>
        <v>7.456288166026903</v>
      </c>
      <c r="K18" s="727">
        <v>0</v>
      </c>
      <c r="L18" s="1045">
        <v>0</v>
      </c>
      <c r="M18" s="1037">
        <v>0</v>
      </c>
      <c r="N18" s="694">
        <v>5213</v>
      </c>
      <c r="O18" s="1113">
        <v>5765.5</v>
      </c>
      <c r="P18" s="1022">
        <f t="shared" si="1"/>
        <v>10.598503740648368</v>
      </c>
      <c r="Q18" s="125"/>
      <c r="R18" s="57"/>
    </row>
    <row r="19" spans="1:23" ht="13.5" customHeight="1">
      <c r="A19" s="431"/>
      <c r="B19" s="196"/>
      <c r="C19" s="1520"/>
      <c r="D19" s="1028" t="s">
        <v>387</v>
      </c>
      <c r="E19" s="688">
        <v>301152</v>
      </c>
      <c r="F19" s="931">
        <v>284582</v>
      </c>
      <c r="G19" s="1036">
        <f t="shared" si="0"/>
        <v>-5.50220486664541</v>
      </c>
      <c r="H19" s="933">
        <f t="shared" si="2"/>
        <v>27.006295824035703</v>
      </c>
      <c r="I19" s="1054">
        <f t="shared" si="2"/>
        <v>18.64067298704767</v>
      </c>
      <c r="J19" s="1037">
        <f t="shared" si="3"/>
        <v>-30.97656521092611</v>
      </c>
      <c r="K19" s="727">
        <v>0</v>
      </c>
      <c r="L19" s="1045">
        <v>0</v>
      </c>
      <c r="M19" s="1037">
        <v>0</v>
      </c>
      <c r="N19" s="694">
        <v>8133</v>
      </c>
      <c r="O19" s="1113">
        <v>5304.8</v>
      </c>
      <c r="P19" s="1022">
        <f t="shared" si="1"/>
        <v>-34.77437599901635</v>
      </c>
      <c r="Q19" s="125"/>
      <c r="R19" s="57"/>
      <c r="W19" s="473"/>
    </row>
    <row r="20" spans="1:18" ht="13.5" customHeight="1">
      <c r="A20" s="431"/>
      <c r="B20" s="196"/>
      <c r="C20" s="1520"/>
      <c r="D20" s="1028" t="s">
        <v>388</v>
      </c>
      <c r="E20" s="688">
        <v>8441</v>
      </c>
      <c r="F20" s="931">
        <v>8755</v>
      </c>
      <c r="G20" s="1036">
        <f t="shared" si="0"/>
        <v>3.71993839592466</v>
      </c>
      <c r="H20" s="1048">
        <v>0</v>
      </c>
      <c r="I20" s="1056">
        <v>0</v>
      </c>
      <c r="J20" s="1037">
        <v>0</v>
      </c>
      <c r="K20" s="933">
        <f>N20*1000/E20</f>
        <v>21.561426371283023</v>
      </c>
      <c r="L20" s="1060">
        <f>O20*1000/F20</f>
        <v>22.07881210736722</v>
      </c>
      <c r="M20" s="1037">
        <f>(L20/K20-1)*100</f>
        <v>2.399589559498194</v>
      </c>
      <c r="N20" s="694">
        <v>182</v>
      </c>
      <c r="O20" s="1113">
        <v>193.3</v>
      </c>
      <c r="P20" s="1022">
        <f t="shared" si="1"/>
        <v>6.208791208791209</v>
      </c>
      <c r="Q20" s="125"/>
      <c r="R20" s="57"/>
    </row>
    <row r="21" spans="1:18" ht="13.5" customHeight="1">
      <c r="A21" s="431"/>
      <c r="B21" s="196"/>
      <c r="C21" s="1520"/>
      <c r="D21" s="1028" t="s">
        <v>389</v>
      </c>
      <c r="E21" s="688">
        <v>33057</v>
      </c>
      <c r="F21" s="931">
        <v>34914</v>
      </c>
      <c r="G21" s="1036">
        <f t="shared" si="0"/>
        <v>5.6175696524185526</v>
      </c>
      <c r="H21" s="933">
        <f t="shared" si="2"/>
        <v>20.54027891218199</v>
      </c>
      <c r="I21" s="1054">
        <f t="shared" si="2"/>
        <v>22.05419029615627</v>
      </c>
      <c r="J21" s="1037">
        <f t="shared" si="3"/>
        <v>7.370451932258892</v>
      </c>
      <c r="K21" s="727">
        <v>0</v>
      </c>
      <c r="L21" s="1045">
        <v>0</v>
      </c>
      <c r="M21" s="1037">
        <v>0</v>
      </c>
      <c r="N21" s="694">
        <v>679</v>
      </c>
      <c r="O21" s="1113">
        <v>770</v>
      </c>
      <c r="P21" s="1022">
        <f t="shared" si="1"/>
        <v>13.4020618556701</v>
      </c>
      <c r="Q21" s="125"/>
      <c r="R21" s="57"/>
    </row>
    <row r="22" spans="1:18" ht="13.5" customHeight="1">
      <c r="A22" s="431"/>
      <c r="B22" s="196"/>
      <c r="C22" s="1520"/>
      <c r="D22" s="936" t="s">
        <v>390</v>
      </c>
      <c r="E22" s="937">
        <v>4545</v>
      </c>
      <c r="F22" s="934">
        <v>4714</v>
      </c>
      <c r="G22" s="1040">
        <f t="shared" si="0"/>
        <v>3.7183718371837093</v>
      </c>
      <c r="H22" s="724">
        <v>0</v>
      </c>
      <c r="I22" s="725">
        <v>0</v>
      </c>
      <c r="J22" s="1043">
        <v>0</v>
      </c>
      <c r="K22" s="723">
        <f>N22*1000/E22</f>
        <v>21.562156215621563</v>
      </c>
      <c r="L22" s="729">
        <f>O22*1000/F22</f>
        <v>22.083156554942725</v>
      </c>
      <c r="M22" s="1043">
        <f>(L22/K22-1)*100</f>
        <v>2.4162719818517253</v>
      </c>
      <c r="N22" s="1062">
        <v>98</v>
      </c>
      <c r="O22" s="1115">
        <v>104.1</v>
      </c>
      <c r="P22" s="1064">
        <f t="shared" si="1"/>
        <v>6.224489795918364</v>
      </c>
      <c r="Q22" s="125"/>
      <c r="R22" s="57"/>
    </row>
    <row r="23" spans="1:18" ht="13.5" customHeight="1">
      <c r="A23" s="431"/>
      <c r="B23" s="196"/>
      <c r="C23" s="1521"/>
      <c r="D23" s="1100" t="s">
        <v>127</v>
      </c>
      <c r="E23" s="696">
        <f>E17+E18+E19+E20+E21+E22</f>
        <v>1037797</v>
      </c>
      <c r="F23" s="703">
        <f>F17+F18+F19+F20+F21+F22</f>
        <v>1008548</v>
      </c>
      <c r="G23" s="1041">
        <f>(F23/E23-1)*100</f>
        <v>-2.81837392091131</v>
      </c>
      <c r="H23" s="700">
        <f>SUM(N17+N18+N19+N21)*1000/SUM(E17+E18+E19+E21)</f>
        <v>26.7171214985007</v>
      </c>
      <c r="I23" s="1105">
        <f>SUM(O17+O18+O19+O21)*1000/SUM(F17+F18+F19+F21)</f>
        <v>22.755982188348863</v>
      </c>
      <c r="J23" s="1103">
        <f>(I23/H23-1)*100</f>
        <v>-14.826220370986166</v>
      </c>
      <c r="K23" s="700">
        <f>SUM(N20+N22)*1000/SUM(E20+E22)</f>
        <v>21.561681811181273</v>
      </c>
      <c r="L23" s="1105">
        <f>SUM(O20+O22)*1000/SUM(F20+F22)</f>
        <v>22.080332615635903</v>
      </c>
      <c r="M23" s="1103">
        <f>(L23/K23-1)*100</f>
        <v>2.4054283380885</v>
      </c>
      <c r="N23" s="696">
        <f>N17+N18+N19+N20+N21+N22</f>
        <v>27660</v>
      </c>
      <c r="O23" s="703">
        <f>O17+O18+O19+O20+O21+O22</f>
        <v>22941.399999999998</v>
      </c>
      <c r="P23" s="1049">
        <f>(O23/N23-1)*100</f>
        <v>-17.059291395516997</v>
      </c>
      <c r="Q23" s="125"/>
      <c r="R23" s="57"/>
    </row>
    <row r="24" spans="1:18" ht="13.5" customHeight="1">
      <c r="A24" s="431"/>
      <c r="B24" s="196"/>
      <c r="C24" s="1101"/>
      <c r="D24" s="1024" t="s">
        <v>47</v>
      </c>
      <c r="E24" s="688">
        <v>170043</v>
      </c>
      <c r="F24" s="931">
        <v>150118</v>
      </c>
      <c r="G24" s="1036">
        <f t="shared" si="0"/>
        <v>-11.717624365601642</v>
      </c>
      <c r="H24" s="933">
        <f t="shared" si="2"/>
        <v>20.500696882553235</v>
      </c>
      <c r="I24" s="1054">
        <f t="shared" si="2"/>
        <v>19.029696638644268</v>
      </c>
      <c r="J24" s="1037">
        <f t="shared" si="3"/>
        <v>-7.175367024527035</v>
      </c>
      <c r="K24" s="727">
        <v>0</v>
      </c>
      <c r="L24" s="1045">
        <v>0</v>
      </c>
      <c r="M24" s="1037">
        <v>0</v>
      </c>
      <c r="N24" s="694">
        <v>3486</v>
      </c>
      <c r="O24" s="1113">
        <v>2856.7</v>
      </c>
      <c r="P24" s="1022">
        <f t="shared" si="1"/>
        <v>-18.052208835341364</v>
      </c>
      <c r="Q24" s="125"/>
      <c r="R24" s="57"/>
    </row>
    <row r="25" spans="1:18" ht="13.5" customHeight="1">
      <c r="A25" s="431"/>
      <c r="B25" s="196"/>
      <c r="C25" s="877" t="s">
        <v>29</v>
      </c>
      <c r="D25" s="936" t="s">
        <v>48</v>
      </c>
      <c r="E25" s="937">
        <v>283124</v>
      </c>
      <c r="F25" s="934">
        <v>283124</v>
      </c>
      <c r="G25" s="1040">
        <f t="shared" si="0"/>
        <v>0</v>
      </c>
      <c r="H25" s="724">
        <v>0</v>
      </c>
      <c r="I25" s="725">
        <v>0</v>
      </c>
      <c r="J25" s="1043">
        <v>0</v>
      </c>
      <c r="K25" s="723">
        <f>N25*1000/E25</f>
        <v>29.00142693660728</v>
      </c>
      <c r="L25" s="729">
        <f>O25*1000/F25</f>
        <v>35.14007996496235</v>
      </c>
      <c r="M25" s="1043">
        <f>(L25/K25-1)*100</f>
        <v>21.166727560589436</v>
      </c>
      <c r="N25" s="1062">
        <v>8211</v>
      </c>
      <c r="O25" s="1115">
        <v>9949</v>
      </c>
      <c r="P25" s="1064">
        <f t="shared" si="1"/>
        <v>21.16672756058946</v>
      </c>
      <c r="Q25" s="125"/>
      <c r="R25" s="57"/>
    </row>
    <row r="26" spans="1:18" ht="13.5" customHeight="1">
      <c r="A26" s="431"/>
      <c r="B26" s="196"/>
      <c r="C26" s="1102"/>
      <c r="D26" s="1100" t="s">
        <v>127</v>
      </c>
      <c r="E26" s="709">
        <f>E24+E25</f>
        <v>453167</v>
      </c>
      <c r="F26" s="683">
        <f>F24+F25</f>
        <v>433242</v>
      </c>
      <c r="G26" s="1095">
        <f>(F26/E26-1)*100</f>
        <v>-4.39683383829802</v>
      </c>
      <c r="H26" s="1017">
        <f>N24*1000/E24</f>
        <v>20.500696882553235</v>
      </c>
      <c r="I26" s="1108">
        <f>O24*1000/F24</f>
        <v>19.029696638644268</v>
      </c>
      <c r="J26" s="1037">
        <f>(I26/H26-1)*100</f>
        <v>-7.175367024527035</v>
      </c>
      <c r="K26" s="1017">
        <f>N25*1000/E25</f>
        <v>29.00142693660728</v>
      </c>
      <c r="L26" s="1108">
        <f>O25*1000/F25</f>
        <v>35.14007996496235</v>
      </c>
      <c r="M26" s="1037">
        <f>(L26/K26-1)*100</f>
        <v>21.166727560589436</v>
      </c>
      <c r="N26" s="1031">
        <f>N24+N25</f>
        <v>11697</v>
      </c>
      <c r="O26" s="1116">
        <f>O24+O25</f>
        <v>12805.7</v>
      </c>
      <c r="P26" s="1112">
        <f>(O26/N26-1)*100</f>
        <v>9.478498760365905</v>
      </c>
      <c r="Q26" s="125"/>
      <c r="R26" s="57"/>
    </row>
    <row r="27" spans="1:18" ht="13.5" customHeight="1">
      <c r="A27" s="431"/>
      <c r="B27" s="196"/>
      <c r="C27" s="1066" t="s">
        <v>30</v>
      </c>
      <c r="D27" s="1099" t="s">
        <v>47</v>
      </c>
      <c r="E27" s="690">
        <v>13276</v>
      </c>
      <c r="F27" s="1119">
        <v>12783</v>
      </c>
      <c r="G27" s="1041">
        <f t="shared" si="0"/>
        <v>-3.713467912021695</v>
      </c>
      <c r="H27" s="700">
        <f t="shared" si="2"/>
        <v>21.166013859596266</v>
      </c>
      <c r="I27" s="1109">
        <f t="shared" si="2"/>
        <v>22.866306813736994</v>
      </c>
      <c r="J27" s="1103">
        <f t="shared" si="3"/>
        <v>8.033127850239264</v>
      </c>
      <c r="K27" s="728">
        <v>0</v>
      </c>
      <c r="L27" s="1110">
        <v>0</v>
      </c>
      <c r="M27" s="1103">
        <v>0</v>
      </c>
      <c r="N27" s="696">
        <v>281</v>
      </c>
      <c r="O27" s="1117">
        <v>292.3</v>
      </c>
      <c r="P27" s="1049">
        <f t="shared" si="1"/>
        <v>4.02135231316727</v>
      </c>
      <c r="Q27" s="125"/>
      <c r="R27" s="57"/>
    </row>
    <row r="28" spans="1:20" ht="13.5" customHeight="1">
      <c r="A28" s="431"/>
      <c r="B28" s="196"/>
      <c r="C28" s="1067" t="s">
        <v>8</v>
      </c>
      <c r="D28" s="1013" t="s">
        <v>47</v>
      </c>
      <c r="E28" s="690">
        <v>162328.5</v>
      </c>
      <c r="F28" s="1119">
        <v>199686</v>
      </c>
      <c r="G28" s="1041">
        <f t="shared" si="0"/>
        <v>23.01351888300576</v>
      </c>
      <c r="H28" s="700">
        <f t="shared" si="2"/>
        <v>24.70361027176374</v>
      </c>
      <c r="I28" s="1109">
        <f t="shared" si="2"/>
        <v>22.980078723596044</v>
      </c>
      <c r="J28" s="1103">
        <f t="shared" si="3"/>
        <v>-6.976840750024682</v>
      </c>
      <c r="K28" s="728">
        <v>0</v>
      </c>
      <c r="L28" s="1110">
        <v>0</v>
      </c>
      <c r="M28" s="1103">
        <v>0</v>
      </c>
      <c r="N28" s="696">
        <v>4010.1</v>
      </c>
      <c r="O28" s="1117">
        <v>4588.8</v>
      </c>
      <c r="P28" s="1049">
        <f t="shared" si="1"/>
        <v>14.43106156953693</v>
      </c>
      <c r="Q28" s="125"/>
      <c r="R28" s="57"/>
      <c r="T28" s="1140"/>
    </row>
    <row r="29" spans="1:18" ht="13.5" customHeight="1">
      <c r="A29" s="431"/>
      <c r="B29" s="196"/>
      <c r="C29" s="878" t="s">
        <v>6</v>
      </c>
      <c r="D29" s="1013" t="s">
        <v>47</v>
      </c>
      <c r="E29" s="690">
        <v>65150</v>
      </c>
      <c r="F29" s="1119">
        <v>33251</v>
      </c>
      <c r="G29" s="1041">
        <f t="shared" si="0"/>
        <v>-48.96239447429011</v>
      </c>
      <c r="H29" s="700">
        <f t="shared" si="2"/>
        <v>25.326170376055256</v>
      </c>
      <c r="I29" s="1109">
        <f t="shared" si="2"/>
        <v>16.799494752037532</v>
      </c>
      <c r="J29" s="1103">
        <f t="shared" si="3"/>
        <v>-33.667449509379075</v>
      </c>
      <c r="K29" s="728">
        <v>0</v>
      </c>
      <c r="L29" s="1110">
        <v>0</v>
      </c>
      <c r="M29" s="1103">
        <v>0</v>
      </c>
      <c r="N29" s="696">
        <v>1650</v>
      </c>
      <c r="O29" s="1117">
        <v>558.6</v>
      </c>
      <c r="P29" s="1049">
        <f t="shared" si="1"/>
        <v>-66.14545454545456</v>
      </c>
      <c r="Q29" s="125"/>
      <c r="R29" s="57"/>
    </row>
    <row r="30" spans="1:18" ht="13.5" customHeight="1">
      <c r="A30" s="431"/>
      <c r="B30" s="196"/>
      <c r="C30" s="1543" t="s">
        <v>14</v>
      </c>
      <c r="D30" s="1024" t="s">
        <v>47</v>
      </c>
      <c r="E30" s="1039">
        <v>13305</v>
      </c>
      <c r="F30" s="1045">
        <v>10862</v>
      </c>
      <c r="G30" s="1037">
        <f t="shared" si="0"/>
        <v>-18.361518226230743</v>
      </c>
      <c r="H30" s="933">
        <f t="shared" si="2"/>
        <v>9.898534385569334</v>
      </c>
      <c r="I30" s="1054">
        <f t="shared" si="2"/>
        <v>8.534339900570798</v>
      </c>
      <c r="J30" s="1037">
        <f t="shared" si="3"/>
        <v>-13.78178255345902</v>
      </c>
      <c r="K30" s="1058">
        <v>0</v>
      </c>
      <c r="L30" s="1045">
        <v>0</v>
      </c>
      <c r="M30" s="1037">
        <v>0</v>
      </c>
      <c r="N30" s="694">
        <v>131.7</v>
      </c>
      <c r="O30" s="1056">
        <v>92.7</v>
      </c>
      <c r="P30" s="1023">
        <f t="shared" si="1"/>
        <v>-29.612756264236893</v>
      </c>
      <c r="Q30" s="125"/>
      <c r="R30" s="57"/>
    </row>
    <row r="31" spans="1:18" ht="13.5" customHeight="1">
      <c r="A31" s="431"/>
      <c r="B31" s="196"/>
      <c r="C31" s="1544"/>
      <c r="D31" s="936" t="s">
        <v>48</v>
      </c>
      <c r="E31" s="1016">
        <v>395</v>
      </c>
      <c r="F31" s="1046">
        <v>1725</v>
      </c>
      <c r="G31" s="1043">
        <f t="shared" si="0"/>
        <v>336.7088607594937</v>
      </c>
      <c r="H31" s="724">
        <v>0</v>
      </c>
      <c r="I31" s="730">
        <v>0</v>
      </c>
      <c r="J31" s="726">
        <v>0</v>
      </c>
      <c r="K31" s="723">
        <f>N31*1000/E31</f>
        <v>7.0886075949367084</v>
      </c>
      <c r="L31" s="729">
        <f>O31*1000/F31</f>
        <v>23.18840579710145</v>
      </c>
      <c r="M31" s="726">
        <f>(L31/K31-1)*100</f>
        <v>227.12215320910977</v>
      </c>
      <c r="N31" s="1062">
        <v>2.8</v>
      </c>
      <c r="O31" s="731">
        <v>40</v>
      </c>
      <c r="P31" s="470">
        <f t="shared" si="1"/>
        <v>1328.5714285714287</v>
      </c>
      <c r="Q31" s="125"/>
      <c r="R31" s="57"/>
    </row>
    <row r="32" spans="1:18" ht="13.5" customHeight="1" thickBot="1">
      <c r="A32" s="431"/>
      <c r="B32" s="196"/>
      <c r="C32" s="1544"/>
      <c r="D32" s="1090" t="s">
        <v>127</v>
      </c>
      <c r="E32" s="1118">
        <f>E30+E31</f>
        <v>13700</v>
      </c>
      <c r="F32" s="1047">
        <f>F30+F31</f>
        <v>12587</v>
      </c>
      <c r="G32" s="1096">
        <f>(F32/E32-1)*100</f>
        <v>-8.12408759124088</v>
      </c>
      <c r="H32" s="1076">
        <f>N30*1000/E30</f>
        <v>9.898534385569334</v>
      </c>
      <c r="I32" s="1120">
        <f>O32*1000/F32</f>
        <v>10.542623341542862</v>
      </c>
      <c r="J32" s="1080">
        <f>(I32/H32-1)*100</f>
        <v>6.506912345655125</v>
      </c>
      <c r="K32" s="1076">
        <f>N31*1000/E31</f>
        <v>7.0886075949367084</v>
      </c>
      <c r="L32" s="1079">
        <f>O31*1000/F31</f>
        <v>23.18840579710145</v>
      </c>
      <c r="M32" s="1080">
        <f>(L32/K32-1)*100</f>
        <v>227.12215320910977</v>
      </c>
      <c r="N32" s="1098">
        <f>N30+N31</f>
        <v>134.5</v>
      </c>
      <c r="O32" s="1027">
        <f>O30+O31</f>
        <v>132.7</v>
      </c>
      <c r="P32" s="430">
        <f>(O32/N32-1)*100</f>
        <v>-1.3382899628252898</v>
      </c>
      <c r="Q32" s="125"/>
      <c r="R32" s="57"/>
    </row>
    <row r="33" spans="1:20" ht="13.5" customHeight="1">
      <c r="A33" s="431"/>
      <c r="B33" s="196"/>
      <c r="C33" s="923"/>
      <c r="D33" s="1082" t="s">
        <v>47</v>
      </c>
      <c r="E33" s="1083">
        <f>E9+E10+E13+E16+E17+E18+E19+E21+E24+E27+E28+E29+E30</f>
        <v>1565713</v>
      </c>
      <c r="F33" s="1085">
        <f>F9+F10+F13+F16+F17+F18+F19+F21+F24+F27+F28+F29+F30</f>
        <v>1519389.8</v>
      </c>
      <c r="G33" s="1087">
        <f t="shared" si="0"/>
        <v>-2.9586009696540794</v>
      </c>
      <c r="H33" s="1549">
        <f>N33*1000/E33</f>
        <v>24.452821174761915</v>
      </c>
      <c r="I33" s="1537">
        <f>O33*1000/F33</f>
        <v>21.4579563453697</v>
      </c>
      <c r="J33" s="1551">
        <f>(I33/H33-1)*100</f>
        <v>-12.24752272135886</v>
      </c>
      <c r="K33" s="1529">
        <f>N34*1000/E34</f>
        <v>24.10808323454517</v>
      </c>
      <c r="L33" s="1537">
        <f>N34*1000/F34</f>
        <v>24.623424182886563</v>
      </c>
      <c r="M33" s="1527">
        <f>(L33/K33-1)*100</f>
        <v>2.137627215435134</v>
      </c>
      <c r="N33" s="1085">
        <f>N9+N10+N13+N16+N17+N18+N19+N21+N24+N27+N28+N29+N30</f>
        <v>38286.1</v>
      </c>
      <c r="O33" s="1085">
        <f>O9+O10+O13+O16+O17+O18+O19+O21+O24+O27+O28+O29+O30</f>
        <v>32602.999999999996</v>
      </c>
      <c r="P33" s="1086">
        <f t="shared" si="1"/>
        <v>-14.843768365020205</v>
      </c>
      <c r="Q33" s="125"/>
      <c r="R33" s="57"/>
      <c r="T33" s="686" t="s">
        <v>306</v>
      </c>
    </row>
    <row r="34" spans="1:18" ht="13.5" customHeight="1" thickBot="1">
      <c r="A34" s="431"/>
      <c r="B34" s="196"/>
      <c r="C34" s="924" t="s">
        <v>477</v>
      </c>
      <c r="D34" s="1081" t="s">
        <v>48</v>
      </c>
      <c r="E34" s="885">
        <f>E7+E8+E11+E14+E20+E22+E25+E31</f>
        <v>450711.9</v>
      </c>
      <c r="F34" s="887">
        <f>F7+F8+F11+F14+F20+F22+F25+F31</f>
        <v>441279</v>
      </c>
      <c r="G34" s="928">
        <f t="shared" si="0"/>
        <v>-2.0928890495236607</v>
      </c>
      <c r="H34" s="1550"/>
      <c r="I34" s="1538"/>
      <c r="J34" s="1552"/>
      <c r="K34" s="1530"/>
      <c r="L34" s="1538"/>
      <c r="M34" s="1528"/>
      <c r="N34" s="887">
        <f>N7+N8+N11+N14+N20+N22+N25+N31</f>
        <v>10865.8</v>
      </c>
      <c r="O34" s="886">
        <f>O7+O8+O11+O14+O20+O22+O25+O31</f>
        <v>13036.2</v>
      </c>
      <c r="P34" s="888">
        <f t="shared" si="1"/>
        <v>19.97459920116329</v>
      </c>
      <c r="Q34" s="125"/>
      <c r="R34" s="57"/>
    </row>
    <row r="35" spans="1:18" ht="13.5" customHeight="1" thickBot="1">
      <c r="A35" s="431"/>
      <c r="B35" s="196"/>
      <c r="C35" s="925"/>
      <c r="D35" s="884" t="s">
        <v>478</v>
      </c>
      <c r="E35" s="885">
        <f>E33+E34</f>
        <v>2016424.9</v>
      </c>
      <c r="F35" s="886">
        <f>F33+F34</f>
        <v>1960668.8</v>
      </c>
      <c r="G35" s="928">
        <f t="shared" si="0"/>
        <v>-2.7650967809413562</v>
      </c>
      <c r="H35" s="1499">
        <f>N35*1000/E35</f>
        <v>24.37576524669974</v>
      </c>
      <c r="I35" s="1500"/>
      <c r="J35" s="1499">
        <f>O35*1000/F35</f>
        <v>23.277363316027675</v>
      </c>
      <c r="K35" s="1500"/>
      <c r="L35" s="1501">
        <f>(J35/H35-1)*100</f>
        <v>-4.506122862422868</v>
      </c>
      <c r="M35" s="1502"/>
      <c r="N35" s="885">
        <f>N33+N34</f>
        <v>49151.899999999994</v>
      </c>
      <c r="O35" s="886">
        <f>O33+O34</f>
        <v>45639.2</v>
      </c>
      <c r="P35" s="888">
        <f t="shared" si="1"/>
        <v>-7.1466209851501095</v>
      </c>
      <c r="Q35" s="125"/>
      <c r="R35" s="57"/>
    </row>
    <row r="36" spans="1:18" ht="15">
      <c r="A36" s="431"/>
      <c r="B36" s="196"/>
      <c r="C36" s="181" t="s">
        <v>329</v>
      </c>
      <c r="D36" s="684"/>
      <c r="E36" s="433"/>
      <c r="F36" s="433"/>
      <c r="G36" s="433"/>
      <c r="H36" s="433"/>
      <c r="I36" s="433"/>
      <c r="J36" s="433"/>
      <c r="K36" s="433"/>
      <c r="L36" s="433"/>
      <c r="M36" s="433"/>
      <c r="N36" s="433"/>
      <c r="O36" s="433"/>
      <c r="P36" s="433"/>
      <c r="Q36" s="179"/>
      <c r="R36" s="57"/>
    </row>
    <row r="37" spans="1:18" ht="15">
      <c r="A37" s="431"/>
      <c r="B37" s="431"/>
      <c r="C37" s="431"/>
      <c r="D37" s="432"/>
      <c r="E37" s="57"/>
      <c r="F37" s="57"/>
      <c r="G37" s="57"/>
      <c r="H37" s="57"/>
      <c r="I37" s="57"/>
      <c r="J37" s="57"/>
      <c r="K37" s="57"/>
      <c r="L37" s="57"/>
      <c r="M37" s="57"/>
      <c r="N37" s="57"/>
      <c r="O37" s="57"/>
      <c r="P37" s="57"/>
      <c r="Q37" s="57"/>
      <c r="R37" s="57"/>
    </row>
    <row r="38" spans="4:18" ht="15">
      <c r="D38"/>
      <c r="E38"/>
      <c r="F38" s="4"/>
      <c r="G38" s="4"/>
      <c r="H38"/>
      <c r="I38" s="4"/>
      <c r="J38" s="4"/>
      <c r="K38"/>
      <c r="L38" s="4"/>
      <c r="M38" s="4"/>
      <c r="N38"/>
      <c r="O38" s="4"/>
      <c r="P38" s="4"/>
      <c r="Q38"/>
      <c r="R38"/>
    </row>
    <row r="39" spans="4:18" ht="15">
      <c r="D39"/>
      <c r="E39"/>
      <c r="F39"/>
      <c r="G39"/>
      <c r="H39"/>
      <c r="I39"/>
      <c r="J39"/>
      <c r="K39"/>
      <c r="L39"/>
      <c r="M39"/>
      <c r="N39"/>
      <c r="O39"/>
      <c r="P39"/>
      <c r="Q39"/>
      <c r="R39"/>
    </row>
    <row r="40" spans="4:16" ht="15">
      <c r="D40"/>
      <c r="E40"/>
      <c r="F40"/>
      <c r="G40"/>
      <c r="H40"/>
      <c r="I40"/>
      <c r="J40"/>
      <c r="K40"/>
      <c r="L40"/>
      <c r="M40"/>
      <c r="N40"/>
      <c r="O40"/>
      <c r="P40"/>
    </row>
    <row r="41" spans="4:16" ht="15">
      <c r="D41"/>
      <c r="E41"/>
      <c r="F41"/>
      <c r="G41"/>
      <c r="H41"/>
      <c r="I41"/>
      <c r="J41"/>
      <c r="K41"/>
      <c r="L41"/>
      <c r="M41"/>
      <c r="N41"/>
      <c r="O41"/>
      <c r="P41"/>
    </row>
    <row r="42" spans="4:16" ht="15">
      <c r="D42"/>
      <c r="E42"/>
      <c r="F42"/>
      <c r="G42"/>
      <c r="H42"/>
      <c r="I42"/>
      <c r="J42"/>
      <c r="K42"/>
      <c r="L42"/>
      <c r="M42"/>
      <c r="N42"/>
      <c r="O42"/>
      <c r="P42"/>
    </row>
    <row r="43" spans="4:16" ht="15">
      <c r="D43"/>
      <c r="E43"/>
      <c r="F43"/>
      <c r="G43"/>
      <c r="H43"/>
      <c r="I43"/>
      <c r="J43"/>
      <c r="K43"/>
      <c r="L43"/>
      <c r="M43"/>
      <c r="N43"/>
      <c r="O43"/>
      <c r="P43"/>
    </row>
    <row r="44" spans="4:16" ht="15">
      <c r="D44"/>
      <c r="E44"/>
      <c r="F44"/>
      <c r="G44"/>
      <c r="H44"/>
      <c r="I44"/>
      <c r="J44"/>
      <c r="K44"/>
      <c r="L44"/>
      <c r="M44"/>
      <c r="N44"/>
      <c r="O44"/>
      <c r="P44"/>
    </row>
    <row r="45" spans="4:16" ht="15">
      <c r="D45"/>
      <c r="E45"/>
      <c r="F45"/>
      <c r="G45"/>
      <c r="H45"/>
      <c r="I45"/>
      <c r="J45"/>
      <c r="K45"/>
      <c r="L45"/>
      <c r="M45"/>
      <c r="N45"/>
      <c r="O45"/>
      <c r="P45"/>
    </row>
    <row r="46" spans="4:16" ht="15">
      <c r="D46"/>
      <c r="E46"/>
      <c r="F46"/>
      <c r="G46"/>
      <c r="H46"/>
      <c r="I46"/>
      <c r="J46"/>
      <c r="K46"/>
      <c r="L46"/>
      <c r="M46"/>
      <c r="N46"/>
      <c r="O46"/>
      <c r="P46"/>
    </row>
    <row r="47" spans="4:16" ht="15">
      <c r="D47"/>
      <c r="E47"/>
      <c r="F47"/>
      <c r="G47"/>
      <c r="H47"/>
      <c r="I47"/>
      <c r="J47"/>
      <c r="K47"/>
      <c r="L47"/>
      <c r="M47"/>
      <c r="N47"/>
      <c r="O47"/>
      <c r="P47"/>
    </row>
    <row r="48" spans="4:16" ht="15">
      <c r="D48"/>
      <c r="E48"/>
      <c r="F48"/>
      <c r="G48"/>
      <c r="H48"/>
      <c r="I48"/>
      <c r="J48"/>
      <c r="K48"/>
      <c r="L48"/>
      <c r="M48"/>
      <c r="N48"/>
      <c r="O48"/>
      <c r="P48"/>
    </row>
    <row r="49" spans="4:16" ht="15">
      <c r="D49"/>
      <c r="E49"/>
      <c r="F49"/>
      <c r="G49"/>
      <c r="H49"/>
      <c r="I49"/>
      <c r="J49"/>
      <c r="K49"/>
      <c r="L49"/>
      <c r="M49"/>
      <c r="N49"/>
      <c r="O49"/>
      <c r="P49"/>
    </row>
    <row r="50" spans="4:16" ht="15">
      <c r="D50"/>
      <c r="E50"/>
      <c r="F50"/>
      <c r="G50"/>
      <c r="H50"/>
      <c r="I50"/>
      <c r="J50"/>
      <c r="K50"/>
      <c r="L50"/>
      <c r="M50"/>
      <c r="N50"/>
      <c r="O50"/>
      <c r="P50"/>
    </row>
    <row r="51" spans="4:16" ht="15">
      <c r="D51"/>
      <c r="E51"/>
      <c r="F51"/>
      <c r="G51"/>
      <c r="H51"/>
      <c r="I51"/>
      <c r="J51"/>
      <c r="K51"/>
      <c r="L51"/>
      <c r="M51"/>
      <c r="N51"/>
      <c r="O51"/>
      <c r="P51"/>
    </row>
    <row r="52" spans="4:16" ht="15">
      <c r="D52"/>
      <c r="E52"/>
      <c r="F52"/>
      <c r="G52"/>
      <c r="H52"/>
      <c r="I52"/>
      <c r="J52"/>
      <c r="K52"/>
      <c r="L52"/>
      <c r="M52"/>
      <c r="N52"/>
      <c r="O52"/>
      <c r="P52"/>
    </row>
    <row r="53" spans="4:16" ht="15">
      <c r="D53"/>
      <c r="E53"/>
      <c r="F53"/>
      <c r="G53"/>
      <c r="H53"/>
      <c r="I53"/>
      <c r="J53"/>
      <c r="K53"/>
      <c r="L53"/>
      <c r="M53"/>
      <c r="N53"/>
      <c r="O53"/>
      <c r="P53"/>
    </row>
    <row r="54" spans="4:16" ht="15">
      <c r="D54"/>
      <c r="E54"/>
      <c r="F54"/>
      <c r="G54"/>
      <c r="H54"/>
      <c r="I54"/>
      <c r="J54"/>
      <c r="K54"/>
      <c r="L54"/>
      <c r="M54"/>
      <c r="N54"/>
      <c r="O54"/>
      <c r="P54"/>
    </row>
    <row r="55" spans="4:16" ht="15">
      <c r="D55"/>
      <c r="E55"/>
      <c r="F55"/>
      <c r="G55"/>
      <c r="H55"/>
      <c r="I55"/>
      <c r="J55"/>
      <c r="K55"/>
      <c r="L55"/>
      <c r="M55"/>
      <c r="N55"/>
      <c r="O55"/>
      <c r="P55"/>
    </row>
    <row r="56" spans="4:16" ht="15">
      <c r="D56"/>
      <c r="E56"/>
      <c r="F56"/>
      <c r="G56"/>
      <c r="H56"/>
      <c r="I56"/>
      <c r="J56"/>
      <c r="K56"/>
      <c r="L56"/>
      <c r="M56"/>
      <c r="N56"/>
      <c r="O56"/>
      <c r="P56"/>
    </row>
    <row r="57" spans="4:16" ht="15">
      <c r="D57"/>
      <c r="E57"/>
      <c r="F57"/>
      <c r="G57"/>
      <c r="H57"/>
      <c r="I57"/>
      <c r="J57"/>
      <c r="K57"/>
      <c r="L57"/>
      <c r="M57"/>
      <c r="N57"/>
      <c r="O57"/>
      <c r="P57"/>
    </row>
    <row r="58" spans="4:16" ht="15">
      <c r="D58"/>
      <c r="E58"/>
      <c r="F58"/>
      <c r="G58"/>
      <c r="H58"/>
      <c r="I58"/>
      <c r="J58"/>
      <c r="K58"/>
      <c r="L58"/>
      <c r="M58"/>
      <c r="N58"/>
      <c r="O58"/>
      <c r="P58"/>
    </row>
    <row r="59" spans="4:16" ht="15">
      <c r="D59"/>
      <c r="E59"/>
      <c r="F59"/>
      <c r="G59"/>
      <c r="H59"/>
      <c r="I59"/>
      <c r="J59"/>
      <c r="K59"/>
      <c r="L59"/>
      <c r="M59"/>
      <c r="N59"/>
      <c r="O59"/>
      <c r="P59"/>
    </row>
    <row r="60" spans="4:16" ht="15">
      <c r="D60"/>
      <c r="E60"/>
      <c r="F60"/>
      <c r="G60"/>
      <c r="H60"/>
      <c r="I60"/>
      <c r="J60"/>
      <c r="K60"/>
      <c r="L60"/>
      <c r="M60"/>
      <c r="N60"/>
      <c r="O60"/>
      <c r="P60"/>
    </row>
    <row r="61" spans="4:16" ht="15">
      <c r="D61"/>
      <c r="E61"/>
      <c r="F61"/>
      <c r="G61"/>
      <c r="H61"/>
      <c r="I61"/>
      <c r="J61"/>
      <c r="K61"/>
      <c r="L61"/>
      <c r="M61"/>
      <c r="N61"/>
      <c r="O61"/>
      <c r="P61"/>
    </row>
    <row r="62" ht="15">
      <c r="D62"/>
    </row>
  </sheetData>
  <sheetProtection/>
  <mergeCells count="24">
    <mergeCell ref="K33:K34"/>
    <mergeCell ref="L33:L34"/>
    <mergeCell ref="M33:M34"/>
    <mergeCell ref="C13:C15"/>
    <mergeCell ref="C17:C23"/>
    <mergeCell ref="H33:H34"/>
    <mergeCell ref="I33:I34"/>
    <mergeCell ref="J33:J34"/>
    <mergeCell ref="A1:R1"/>
    <mergeCell ref="H35:I35"/>
    <mergeCell ref="J35:K35"/>
    <mergeCell ref="L35:M35"/>
    <mergeCell ref="H4:M4"/>
    <mergeCell ref="C2:P2"/>
    <mergeCell ref="C3:P3"/>
    <mergeCell ref="C4:D6"/>
    <mergeCell ref="E4:G4"/>
    <mergeCell ref="N4:P4"/>
    <mergeCell ref="E5:G5"/>
    <mergeCell ref="H5:J5"/>
    <mergeCell ref="K5:M5"/>
    <mergeCell ref="N5:P5"/>
    <mergeCell ref="C30:C32"/>
    <mergeCell ref="C9:C12"/>
  </mergeCells>
  <printOptions horizontalCentered="1" verticalCentered="1"/>
  <pageMargins left="0.5118110236220472" right="0.5118110236220472" top="0.5905511811023623" bottom="0.5905511811023623" header="0.31496062992125984" footer="0.31496062992125984"/>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dimension ref="A1:N76"/>
  <sheetViews>
    <sheetView zoomScalePageLayoutView="0" workbookViewId="0" topLeftCell="A1">
      <selection activeCell="O31" sqref="O31"/>
    </sheetView>
  </sheetViews>
  <sheetFormatPr defaultColWidth="9.140625" defaultRowHeight="12.75"/>
  <cols>
    <col min="1" max="1" width="15.7109375" style="28" customWidth="1"/>
    <col min="2" max="2" width="10.28125" style="28" bestFit="1" customWidth="1"/>
    <col min="3" max="3" width="8.140625" style="28" bestFit="1" customWidth="1"/>
    <col min="4" max="4" width="9.421875" style="28" customWidth="1"/>
    <col min="5" max="5" width="8.140625" style="28" bestFit="1" customWidth="1"/>
    <col min="6" max="6" width="10.28125" style="28" bestFit="1" customWidth="1"/>
    <col min="7" max="7" width="8.140625" style="28" bestFit="1" customWidth="1"/>
    <col min="8" max="8" width="9.421875" style="28" customWidth="1"/>
    <col min="9" max="9" width="8.140625" style="28" bestFit="1" customWidth="1"/>
    <col min="10" max="10" width="9.421875" style="28" customWidth="1"/>
    <col min="11" max="11" width="8.140625" style="28" bestFit="1" customWidth="1"/>
    <col min="12" max="12" width="9.421875" style="28" customWidth="1"/>
    <col min="13" max="13" width="8.57421875" style="28" customWidth="1"/>
    <col min="14" max="14" width="8.7109375" style="28" customWidth="1"/>
    <col min="15" max="16384" width="9.140625" style="28" customWidth="1"/>
  </cols>
  <sheetData>
    <row r="1" spans="1:13" ht="15">
      <c r="A1" s="1553" t="s">
        <v>534</v>
      </c>
      <c r="B1" s="1553"/>
      <c r="C1" s="1553"/>
      <c r="D1" s="1553"/>
      <c r="E1" s="1553"/>
      <c r="F1" s="1553"/>
      <c r="G1" s="1553"/>
      <c r="H1" s="1553"/>
      <c r="I1" s="1553"/>
      <c r="J1" s="1553"/>
      <c r="K1" s="1553"/>
      <c r="L1" s="1553"/>
      <c r="M1" s="1553"/>
    </row>
    <row r="2" spans="1:13" ht="15" customHeight="1">
      <c r="A2" s="1554" t="s">
        <v>159</v>
      </c>
      <c r="B2" s="1554"/>
      <c r="C2" s="1554"/>
      <c r="D2" s="1554"/>
      <c r="E2" s="1554"/>
      <c r="F2" s="1554"/>
      <c r="G2" s="1554"/>
      <c r="H2" s="1554"/>
      <c r="I2" s="1554"/>
      <c r="J2" s="1554"/>
      <c r="K2" s="1554"/>
      <c r="L2" s="1554"/>
      <c r="M2" s="1554"/>
    </row>
    <row r="3" spans="1:13" ht="15" customHeight="1">
      <c r="A3" s="1555" t="s">
        <v>160</v>
      </c>
      <c r="B3" s="1555"/>
      <c r="C3" s="1555"/>
      <c r="D3" s="1555"/>
      <c r="E3" s="1555"/>
      <c r="F3" s="1555"/>
      <c r="G3" s="1555"/>
      <c r="H3" s="1555"/>
      <c r="I3" s="1555"/>
      <c r="J3" s="1555"/>
      <c r="K3" s="1555"/>
      <c r="L3" s="1555"/>
      <c r="M3" s="1555"/>
    </row>
    <row r="4" spans="1:13" ht="15" customHeight="1">
      <c r="A4" s="1556" t="s">
        <v>42</v>
      </c>
      <c r="B4" s="1556"/>
      <c r="C4" s="1556"/>
      <c r="D4" s="1556"/>
      <c r="E4" s="1556"/>
      <c r="F4" s="1556"/>
      <c r="G4" s="1556"/>
      <c r="H4" s="1556"/>
      <c r="I4" s="1556"/>
      <c r="J4" s="1556"/>
      <c r="K4" s="1556"/>
      <c r="L4" s="1556"/>
      <c r="M4" s="1556"/>
    </row>
    <row r="5" spans="1:13" ht="15" customHeight="1">
      <c r="A5" s="1557" t="s">
        <v>161</v>
      </c>
      <c r="B5" s="1557"/>
      <c r="C5" s="1557"/>
      <c r="D5" s="1557"/>
      <c r="E5" s="1557"/>
      <c r="F5" s="1557"/>
      <c r="G5" s="1557"/>
      <c r="H5" s="1557"/>
      <c r="I5" s="1557"/>
      <c r="J5" s="1557"/>
      <c r="K5" s="1557"/>
      <c r="L5" s="1557"/>
      <c r="M5" s="1557"/>
    </row>
    <row r="6" spans="1:13" ht="15" customHeight="1">
      <c r="A6" s="1558" t="s">
        <v>162</v>
      </c>
      <c r="B6" s="1558"/>
      <c r="C6" s="1558"/>
      <c r="D6" s="1558"/>
      <c r="E6" s="1558"/>
      <c r="F6" s="1558"/>
      <c r="G6" s="1558"/>
      <c r="H6" s="1558"/>
      <c r="I6" s="1558"/>
      <c r="J6" s="1558"/>
      <c r="K6" s="1558"/>
      <c r="L6" s="1558"/>
      <c r="M6" s="1558"/>
    </row>
    <row r="7" spans="1:13" ht="15" customHeight="1">
      <c r="A7" s="1564" t="s">
        <v>163</v>
      </c>
      <c r="B7" s="1565" t="s">
        <v>444</v>
      </c>
      <c r="C7" s="1565"/>
      <c r="D7" s="1565" t="s">
        <v>203</v>
      </c>
      <c r="E7" s="1565"/>
      <c r="F7" s="1565" t="s">
        <v>165</v>
      </c>
      <c r="G7" s="1565"/>
      <c r="H7" s="1559" t="s">
        <v>166</v>
      </c>
      <c r="I7" s="1566"/>
      <c r="J7" s="1559" t="s">
        <v>31</v>
      </c>
      <c r="K7" s="1566"/>
      <c r="L7" s="1559" t="s">
        <v>167</v>
      </c>
      <c r="M7" s="1560"/>
    </row>
    <row r="8" spans="1:13" ht="15" customHeight="1">
      <c r="A8" s="1564"/>
      <c r="B8" s="30" t="s">
        <v>16</v>
      </c>
      <c r="C8" s="31" t="s">
        <v>168</v>
      </c>
      <c r="D8" s="30" t="s">
        <v>16</v>
      </c>
      <c r="E8" s="31" t="s">
        <v>168</v>
      </c>
      <c r="F8" s="30" t="s">
        <v>16</v>
      </c>
      <c r="G8" s="31" t="s">
        <v>168</v>
      </c>
      <c r="H8" s="30" t="s">
        <v>16</v>
      </c>
      <c r="I8" s="31" t="s">
        <v>168</v>
      </c>
      <c r="J8" s="30" t="s">
        <v>16</v>
      </c>
      <c r="K8" s="31" t="s">
        <v>168</v>
      </c>
      <c r="L8" s="30" t="s">
        <v>16</v>
      </c>
      <c r="M8" s="32" t="s">
        <v>168</v>
      </c>
    </row>
    <row r="9" spans="1:14" ht="13.5" customHeight="1">
      <c r="A9" s="334" t="s">
        <v>169</v>
      </c>
      <c r="B9" s="33">
        <v>43200</v>
      </c>
      <c r="C9" s="34">
        <f>(B9/B26)*100</f>
        <v>30.125523012552303</v>
      </c>
      <c r="D9" s="33">
        <v>45346</v>
      </c>
      <c r="E9" s="34">
        <f>(D9/D26)*100</f>
        <v>31.967571378216427</v>
      </c>
      <c r="F9" s="33">
        <v>49152</v>
      </c>
      <c r="G9" s="34">
        <f>(F9/F26)*100</f>
        <v>33.49483798425841</v>
      </c>
      <c r="H9" s="33">
        <v>50826</v>
      </c>
      <c r="I9" s="34">
        <f>(H9/H26)*100</f>
        <v>34.44382700153156</v>
      </c>
      <c r="J9" s="33">
        <v>43484</v>
      </c>
      <c r="K9" s="34">
        <f>(J9/J26)*100</f>
        <v>31.837051463212845</v>
      </c>
      <c r="L9" s="33">
        <v>48095</v>
      </c>
      <c r="M9" s="35">
        <f>(L9/L26)*100</f>
        <v>35.99090031504666</v>
      </c>
      <c r="N9" s="36"/>
    </row>
    <row r="10" spans="1:13" ht="13.5" customHeight="1">
      <c r="A10" s="335" t="s">
        <v>170</v>
      </c>
      <c r="B10" s="37">
        <v>27500</v>
      </c>
      <c r="C10" s="34">
        <f>(B10/B26)*100</f>
        <v>19.17712691771269</v>
      </c>
      <c r="D10" s="37">
        <v>27500</v>
      </c>
      <c r="E10" s="34">
        <f>(D10/D26)*100</f>
        <v>19.386676066267185</v>
      </c>
      <c r="F10" s="37">
        <v>27500</v>
      </c>
      <c r="G10" s="34">
        <f>(F10/F26)*100</f>
        <v>18.739991141095096</v>
      </c>
      <c r="H10" s="37">
        <v>25000</v>
      </c>
      <c r="I10" s="34">
        <f>(H10/H26)*100</f>
        <v>16.94203114623006</v>
      </c>
      <c r="J10" s="37">
        <v>26500</v>
      </c>
      <c r="K10" s="34">
        <f>(J10/J26)*100</f>
        <v>19.402121786752378</v>
      </c>
      <c r="L10" s="37">
        <v>20000</v>
      </c>
      <c r="M10" s="35">
        <f>(L10/L26)*100</f>
        <v>14.966587094311947</v>
      </c>
    </row>
    <row r="11" spans="1:14" ht="13.5" customHeight="1">
      <c r="A11" s="336" t="s">
        <v>171</v>
      </c>
      <c r="B11" s="37">
        <v>13500</v>
      </c>
      <c r="C11" s="34">
        <f>(B11/B26)*100</f>
        <v>9.414225941422593</v>
      </c>
      <c r="D11" s="37">
        <v>12500</v>
      </c>
      <c r="E11" s="34">
        <f>(D11/D26)*100</f>
        <v>8.812125484666902</v>
      </c>
      <c r="F11" s="37">
        <v>12124</v>
      </c>
      <c r="G11" s="34">
        <f>(F11/F26)*100</f>
        <v>8.261951003441343</v>
      </c>
      <c r="H11" s="37">
        <v>9927</v>
      </c>
      <c r="I11" s="34">
        <f>(H11/H26)*100</f>
        <v>6.727341727545031</v>
      </c>
      <c r="J11" s="37">
        <v>7652</v>
      </c>
      <c r="K11" s="34">
        <f>(J11/J26)*100</f>
        <v>5.602454185367139</v>
      </c>
      <c r="L11" s="37">
        <v>8523</v>
      </c>
      <c r="M11" s="35">
        <f>(L11/L26)*100</f>
        <v>6.378011090241037</v>
      </c>
      <c r="N11" s="50"/>
    </row>
    <row r="12" spans="1:13" ht="13.5" customHeight="1">
      <c r="A12" s="336" t="s">
        <v>172</v>
      </c>
      <c r="B12" s="37">
        <v>11000</v>
      </c>
      <c r="C12" s="34">
        <f>(B12/B26)*100</f>
        <v>7.670850767085077</v>
      </c>
      <c r="D12" s="37">
        <v>9000</v>
      </c>
      <c r="E12" s="34">
        <f>(D12/D26)*100</f>
        <v>6.3447303489601685</v>
      </c>
      <c r="F12" s="37">
        <v>11667</v>
      </c>
      <c r="G12" s="34">
        <f>(F12/F26)*100</f>
        <v>7.950526423387509</v>
      </c>
      <c r="H12" s="37">
        <v>13048</v>
      </c>
      <c r="I12" s="34">
        <f>(H12/H26)*100</f>
        <v>8.842384895840393</v>
      </c>
      <c r="J12" s="37">
        <v>7288</v>
      </c>
      <c r="K12" s="34">
        <f>(J12/J26)*100</f>
        <v>5.335949569126465</v>
      </c>
      <c r="L12" s="37">
        <v>9129</v>
      </c>
      <c r="M12" s="35">
        <f>(L12/L26)*100</f>
        <v>6.831498679198688</v>
      </c>
    </row>
    <row r="13" spans="1:13" ht="13.5" customHeight="1">
      <c r="A13" s="336" t="s">
        <v>173</v>
      </c>
      <c r="B13" s="37">
        <v>6400</v>
      </c>
      <c r="C13" s="34">
        <f>(B13/B26)*100</f>
        <v>4.463040446304045</v>
      </c>
      <c r="D13" s="37">
        <v>6625</v>
      </c>
      <c r="E13" s="34">
        <f>(D13/D26)*100</f>
        <v>4.670426506873458</v>
      </c>
      <c r="F13" s="37">
        <v>6527</v>
      </c>
      <c r="G13" s="34">
        <f>(F13/F26)*100</f>
        <v>4.447851715561007</v>
      </c>
      <c r="H13" s="37">
        <v>6233</v>
      </c>
      <c r="I13" s="34">
        <f>(H13/H26)*100</f>
        <v>4.223987205378078</v>
      </c>
      <c r="J13" s="37">
        <v>6798</v>
      </c>
      <c r="K13" s="34">
        <f>(J13/J26)*100</f>
        <v>4.977193354956326</v>
      </c>
      <c r="L13" s="37">
        <v>7500</v>
      </c>
      <c r="M13" s="35">
        <f>(L13/L26)*100</f>
        <v>5.612470160366981</v>
      </c>
    </row>
    <row r="14" spans="1:13" ht="13.5" customHeight="1">
      <c r="A14" s="336" t="s">
        <v>174</v>
      </c>
      <c r="B14" s="37">
        <v>5800</v>
      </c>
      <c r="C14" s="34">
        <f>(B14/B26)*100</f>
        <v>4.044630404463041</v>
      </c>
      <c r="D14" s="37">
        <v>5517</v>
      </c>
      <c r="E14" s="34">
        <f>(D14/D26)*100</f>
        <v>3.8893197039125837</v>
      </c>
      <c r="F14" s="37">
        <v>5075</v>
      </c>
      <c r="G14" s="34">
        <f>(F14/F26)*100</f>
        <v>3.4583801833111862</v>
      </c>
      <c r="H14" s="37">
        <v>4977</v>
      </c>
      <c r="I14" s="34">
        <f>(H14/H26)*100</f>
        <v>3.37281956059148</v>
      </c>
      <c r="J14" s="37">
        <v>4921</v>
      </c>
      <c r="K14" s="34">
        <f>(J14/J26)*100</f>
        <v>3.60293740802296</v>
      </c>
      <c r="L14" s="37">
        <v>4728</v>
      </c>
      <c r="M14" s="35">
        <f>(L14/L26)*100</f>
        <v>3.538101189095345</v>
      </c>
    </row>
    <row r="15" spans="1:13" ht="13.5" customHeight="1">
      <c r="A15" s="336" t="s">
        <v>176</v>
      </c>
      <c r="B15" s="37">
        <v>5800</v>
      </c>
      <c r="C15" s="34">
        <f>(B15/B26)*100</f>
        <v>4.044630404463041</v>
      </c>
      <c r="D15" s="37">
        <v>5400</v>
      </c>
      <c r="E15" s="34">
        <f>(D15/D26)*100</f>
        <v>3.8068382093761017</v>
      </c>
      <c r="F15" s="37">
        <v>4568</v>
      </c>
      <c r="G15" s="34">
        <f>(F15/F26)*100</f>
        <v>3.112882892091724</v>
      </c>
      <c r="H15" s="37">
        <v>4537</v>
      </c>
      <c r="I15" s="34">
        <f>(H15/H26)*100</f>
        <v>3.074639812417831</v>
      </c>
      <c r="J15" s="37">
        <v>5903</v>
      </c>
      <c r="K15" s="34">
        <f>(J15/J26)*100</f>
        <v>4.321914147441483</v>
      </c>
      <c r="L15" s="37">
        <v>4331</v>
      </c>
      <c r="M15" s="35">
        <f>(L15/L26)*100</f>
        <v>3.2410144352732524</v>
      </c>
    </row>
    <row r="16" spans="1:13" ht="13.5" customHeight="1">
      <c r="A16" s="336" t="s">
        <v>177</v>
      </c>
      <c r="B16" s="37">
        <v>3900</v>
      </c>
      <c r="C16" s="34">
        <f>(B16/B26)*100</f>
        <v>2.7196652719665275</v>
      </c>
      <c r="D16" s="37">
        <v>3900</v>
      </c>
      <c r="E16" s="34">
        <f>(D16/D26)*100</f>
        <v>2.7493831512160734</v>
      </c>
      <c r="F16" s="37">
        <v>3916</v>
      </c>
      <c r="G16" s="34">
        <f>(F16/F26)*100</f>
        <v>2.668574738491942</v>
      </c>
      <c r="H16" s="37">
        <v>4327</v>
      </c>
      <c r="I16" s="34">
        <f>(H16/H26)*100</f>
        <v>2.932326750789499</v>
      </c>
      <c r="J16" s="37">
        <v>4563</v>
      </c>
      <c r="K16" s="34">
        <f>(J16/J26)*100</f>
        <v>3.340825725017023</v>
      </c>
      <c r="L16" s="37">
        <v>4001</v>
      </c>
      <c r="M16" s="35">
        <f>(L16/L26)*100</f>
        <v>2.994065748217105</v>
      </c>
    </row>
    <row r="17" spans="1:13" ht="13.5" customHeight="1">
      <c r="A17" s="336" t="s">
        <v>178</v>
      </c>
      <c r="B17" s="37">
        <v>4800</v>
      </c>
      <c r="C17" s="34">
        <f>(B17/B26)*100</f>
        <v>3.3472803347280333</v>
      </c>
      <c r="D17" s="37">
        <v>3800</v>
      </c>
      <c r="E17" s="34">
        <f>(D17/D26)*100</f>
        <v>2.678886147338738</v>
      </c>
      <c r="F17" s="37">
        <v>3602</v>
      </c>
      <c r="G17" s="34">
        <f>(F17/F26)*100</f>
        <v>2.4545981123718015</v>
      </c>
      <c r="H17" s="37">
        <v>3878</v>
      </c>
      <c r="I17" s="34">
        <f>(H17/H26)*100</f>
        <v>2.628047871403207</v>
      </c>
      <c r="J17" s="37">
        <v>3075</v>
      </c>
      <c r="K17" s="34">
        <f>(J17/J26)*100</f>
        <v>2.2513782828023987</v>
      </c>
      <c r="L17" s="37">
        <v>3223</v>
      </c>
      <c r="M17" s="35">
        <f>(L17/L26)*100</f>
        <v>2.4118655102483704</v>
      </c>
    </row>
    <row r="18" spans="1:13" ht="13.5" customHeight="1">
      <c r="A18" s="336" t="s">
        <v>179</v>
      </c>
      <c r="B18" s="37">
        <v>3400</v>
      </c>
      <c r="C18" s="34">
        <f>(B18/B26)*100</f>
        <v>2.3709902370990235</v>
      </c>
      <c r="D18" s="37">
        <v>3500</v>
      </c>
      <c r="E18" s="34">
        <f>(D18/D26)*100</f>
        <v>2.4673951357067323</v>
      </c>
      <c r="F18" s="37">
        <v>3159</v>
      </c>
      <c r="G18" s="34">
        <f>(F18/F26)*100</f>
        <v>2.152713891444342</v>
      </c>
      <c r="H18" s="37">
        <v>3743</v>
      </c>
      <c r="I18" s="34">
        <f>(H18/H26)*100</f>
        <v>2.5365609032135645</v>
      </c>
      <c r="J18" s="37">
        <v>3840</v>
      </c>
      <c r="K18" s="34">
        <f>(J18/J26)*100</f>
        <v>2.8114772702312876</v>
      </c>
      <c r="L18" s="37">
        <v>3950</v>
      </c>
      <c r="M18" s="35">
        <f>(L18/L26)*100</f>
        <v>2.95590095112661</v>
      </c>
    </row>
    <row r="19" spans="1:13" ht="13.5" customHeight="1">
      <c r="A19" s="336" t="s">
        <v>175</v>
      </c>
      <c r="B19" s="37">
        <v>3200</v>
      </c>
      <c r="C19" s="34">
        <f>(B19/B26)*100</f>
        <v>2.2315202231520224</v>
      </c>
      <c r="D19" s="37">
        <v>3400</v>
      </c>
      <c r="E19" s="34">
        <f>(D19/D26)*100</f>
        <v>2.396898131829397</v>
      </c>
      <c r="F19" s="37">
        <v>4338</v>
      </c>
      <c r="G19" s="34">
        <f>(F19/F26)*100</f>
        <v>2.9561484207298374</v>
      </c>
      <c r="H19" s="37">
        <v>4453</v>
      </c>
      <c r="I19" s="34">
        <f>(H19/H26)*100</f>
        <v>3.017714587766498</v>
      </c>
      <c r="J19" s="37">
        <v>5373</v>
      </c>
      <c r="K19" s="34">
        <f>(J19/J26)*100</f>
        <v>3.9338717117064346</v>
      </c>
      <c r="L19" s="37">
        <v>4069</v>
      </c>
      <c r="M19" s="35">
        <f>(L19/L26)*100</f>
        <v>3.0449521443377656</v>
      </c>
    </row>
    <row r="20" spans="1:13" ht="13.5" customHeight="1">
      <c r="A20" s="336" t="s">
        <v>180</v>
      </c>
      <c r="B20" s="37">
        <v>1800</v>
      </c>
      <c r="C20" s="34">
        <f>(B20/B26)*100</f>
        <v>1.2552301255230125</v>
      </c>
      <c r="D20" s="37">
        <v>2175</v>
      </c>
      <c r="E20" s="34">
        <f>(D20/D26)*100</f>
        <v>1.5333098343320408</v>
      </c>
      <c r="F20" s="37">
        <v>1923</v>
      </c>
      <c r="G20" s="34">
        <f>(F20/F26)*100</f>
        <v>1.3104364714300316</v>
      </c>
      <c r="H20" s="37">
        <v>2046</v>
      </c>
      <c r="I20" s="34">
        <f>(H20/H26)*100</f>
        <v>1.386535829007468</v>
      </c>
      <c r="J20" s="37">
        <v>1886</v>
      </c>
      <c r="K20" s="34">
        <f>(J20/J26)*100</f>
        <v>1.380845346785471</v>
      </c>
      <c r="L20" s="37">
        <v>982</v>
      </c>
      <c r="M20" s="35">
        <f>(L20/L26)*100</f>
        <v>0.7348594263307167</v>
      </c>
    </row>
    <row r="21" spans="1:13" ht="13.5" customHeight="1">
      <c r="A21" s="336" t="s">
        <v>181</v>
      </c>
      <c r="B21" s="37">
        <v>2000</v>
      </c>
      <c r="C21" s="34">
        <f>(B21/B26)*100</f>
        <v>1.394700139470014</v>
      </c>
      <c r="D21" s="37">
        <v>2000</v>
      </c>
      <c r="E21" s="34">
        <f>(D21/D26)*100</f>
        <v>1.4099400775467044</v>
      </c>
      <c r="F21" s="37">
        <v>2017</v>
      </c>
      <c r="G21" s="34">
        <f>(F21/F26)*100</f>
        <v>1.3744931684214112</v>
      </c>
      <c r="H21" s="37">
        <v>1890</v>
      </c>
      <c r="I21" s="34">
        <f>(H21/H26)*100</f>
        <v>1.2808175546549925</v>
      </c>
      <c r="J21" s="37">
        <v>2193</v>
      </c>
      <c r="K21" s="34">
        <f>(J21/J26)*100</f>
        <v>1.6056170972961499</v>
      </c>
      <c r="L21" s="37">
        <v>1634</v>
      </c>
      <c r="M21" s="35">
        <f>(L21/L26)*100</f>
        <v>1.2227701656052863</v>
      </c>
    </row>
    <row r="22" spans="1:13" ht="13.5" customHeight="1">
      <c r="A22" s="336" t="s">
        <v>182</v>
      </c>
      <c r="B22" s="37">
        <v>1508</v>
      </c>
      <c r="C22" s="34">
        <f>(B22/B26)*100</f>
        <v>1.0516039051603905</v>
      </c>
      <c r="D22" s="37">
        <v>1508</v>
      </c>
      <c r="E22" s="34">
        <f>(D22/D26)*100</f>
        <v>1.0630948184702151</v>
      </c>
      <c r="F22" s="37">
        <v>1444</v>
      </c>
      <c r="G22" s="34">
        <f>(F22/F26)*100</f>
        <v>0.9840198984633208</v>
      </c>
      <c r="H22" s="37">
        <v>1571</v>
      </c>
      <c r="I22" s="34">
        <f>(H22/H26)*100</f>
        <v>1.064637237229097</v>
      </c>
      <c r="J22" s="37">
        <v>1462</v>
      </c>
      <c r="K22" s="34">
        <f>(J22/J26)*100</f>
        <v>1.070411398197433</v>
      </c>
      <c r="L22" s="37">
        <v>1392</v>
      </c>
      <c r="M22" s="35">
        <f>(L22/L26)*100</f>
        <v>1.0416744617641116</v>
      </c>
    </row>
    <row r="23" spans="1:13" ht="13.5" customHeight="1">
      <c r="A23" s="336" t="s">
        <v>183</v>
      </c>
      <c r="B23" s="37">
        <v>680</v>
      </c>
      <c r="C23" s="34">
        <f>(B23/B26)*100</f>
        <v>0.47419804741980476</v>
      </c>
      <c r="D23" s="37">
        <v>680</v>
      </c>
      <c r="E23" s="34">
        <f>(D23/D26)*100</f>
        <v>0.4793796263658795</v>
      </c>
      <c r="F23" s="37">
        <v>537</v>
      </c>
      <c r="G23" s="34">
        <f>(F23/F26)*100</f>
        <v>0.36594091791883876</v>
      </c>
      <c r="H23" s="37">
        <v>1235</v>
      </c>
      <c r="I23" s="34">
        <f>(H23/H26)*100</f>
        <v>0.8369363386237649</v>
      </c>
      <c r="J23" s="37">
        <v>1152</v>
      </c>
      <c r="K23" s="34">
        <f>(J23/J26)*100</f>
        <v>0.8434431810693863</v>
      </c>
      <c r="L23" s="37">
        <v>1814</v>
      </c>
      <c r="M23" s="35">
        <f>(L23/L26)*100</f>
        <v>1.3574694494540938</v>
      </c>
    </row>
    <row r="24" spans="1:13" ht="15" customHeight="1" hidden="1">
      <c r="A24" s="336"/>
      <c r="B24" s="37">
        <f>SUM(B9:B23)</f>
        <v>134488</v>
      </c>
      <c r="C24" s="335"/>
      <c r="D24" s="37">
        <f>SUM(D9:D23)</f>
        <v>132851</v>
      </c>
      <c r="E24" s="335"/>
      <c r="F24" s="37">
        <f>SUM(F9:F23)</f>
        <v>137549</v>
      </c>
      <c r="G24" s="335"/>
      <c r="H24" s="37">
        <f>SUM(H9:H23)</f>
        <v>137691</v>
      </c>
      <c r="I24" s="335"/>
      <c r="J24" s="37">
        <f>SUM(J9:J23)</f>
        <v>126090</v>
      </c>
      <c r="K24" s="335"/>
      <c r="L24" s="37">
        <f>SUM(L9:L23)</f>
        <v>123371</v>
      </c>
      <c r="M24" s="336"/>
    </row>
    <row r="25" spans="1:13" ht="15">
      <c r="A25" s="336" t="s">
        <v>184</v>
      </c>
      <c r="B25" s="38">
        <f>B26-B24</f>
        <v>8912</v>
      </c>
      <c r="C25" s="39">
        <f>(B25/B26)*100</f>
        <v>6.214783821478382</v>
      </c>
      <c r="D25" s="38">
        <f>D26-D24</f>
        <v>8999</v>
      </c>
      <c r="E25" s="39">
        <f>(D25/D26)*100</f>
        <v>6.344025378921396</v>
      </c>
      <c r="F25" s="38">
        <f>F26-F24</f>
        <v>9196</v>
      </c>
      <c r="G25" s="39">
        <f>(F25/F26)*100</f>
        <v>6.266653037582201</v>
      </c>
      <c r="H25" s="38">
        <f>H26-H24</f>
        <v>9871</v>
      </c>
      <c r="I25" s="39">
        <f>(H25/H26)*100</f>
        <v>6.689391577777476</v>
      </c>
      <c r="J25" s="38">
        <f>J26-J24</f>
        <v>10493</v>
      </c>
      <c r="K25" s="39">
        <f>(J25/J26)*100</f>
        <v>7.682508072014819</v>
      </c>
      <c r="L25" s="38">
        <f>L26-L24</f>
        <v>10260</v>
      </c>
      <c r="M25" s="40">
        <f>(L25/L26)*100</f>
        <v>7.677859179382029</v>
      </c>
    </row>
    <row r="26" spans="1:13" ht="18" customHeight="1">
      <c r="A26" s="337" t="s">
        <v>115</v>
      </c>
      <c r="B26" s="338">
        <v>143400</v>
      </c>
      <c r="C26" s="339">
        <f>SUM(C9:C25)</f>
        <v>99.99999999999999</v>
      </c>
      <c r="D26" s="338">
        <v>141850</v>
      </c>
      <c r="E26" s="339">
        <f>SUM(E9:E25)</f>
        <v>100.00000000000004</v>
      </c>
      <c r="F26" s="338">
        <v>146745</v>
      </c>
      <c r="G26" s="339">
        <f>SUM(G9:G25)</f>
        <v>99.99999999999999</v>
      </c>
      <c r="H26" s="338">
        <v>147562</v>
      </c>
      <c r="I26" s="339">
        <f>SUM(I9:I25)</f>
        <v>99.99999999999999</v>
      </c>
      <c r="J26" s="338">
        <v>136583</v>
      </c>
      <c r="K26" s="339">
        <f>SUM(K9:K25)</f>
        <v>99.99999999999997</v>
      </c>
      <c r="L26" s="338">
        <v>133631</v>
      </c>
      <c r="M26" s="340">
        <f>SUM(M9:M25)</f>
        <v>100.00000000000003</v>
      </c>
    </row>
    <row r="27" spans="1:13" ht="15" customHeight="1">
      <c r="A27" s="341" t="s">
        <v>185</v>
      </c>
      <c r="B27" s="341"/>
      <c r="C27" s="341"/>
      <c r="D27" s="41"/>
      <c r="E27" s="41"/>
      <c r="F27" s="26"/>
      <c r="G27" s="26"/>
      <c r="H27" s="26"/>
      <c r="I27" s="26"/>
      <c r="J27" s="26"/>
      <c r="K27" s="26"/>
      <c r="L27" s="26"/>
      <c r="M27" s="26"/>
    </row>
    <row r="28" spans="1:13" ht="9" customHeight="1">
      <c r="A28" s="42"/>
      <c r="B28" s="42"/>
      <c r="C28" s="42"/>
      <c r="D28" s="41"/>
      <c r="E28" s="41"/>
      <c r="F28" s="26"/>
      <c r="G28" s="26"/>
      <c r="H28" s="26"/>
      <c r="I28" s="26"/>
      <c r="J28" s="26"/>
      <c r="K28" s="26"/>
      <c r="L28" s="26"/>
      <c r="M28" s="26"/>
    </row>
    <row r="29" spans="1:13" ht="15" customHeight="1">
      <c r="A29" s="1561" t="s">
        <v>187</v>
      </c>
      <c r="B29" s="1561"/>
      <c r="C29" s="1561"/>
      <c r="D29" s="1562"/>
      <c r="E29" s="1562"/>
      <c r="F29" s="1562"/>
      <c r="G29" s="1562"/>
      <c r="H29" s="1562"/>
      <c r="I29" s="1562"/>
      <c r="J29" s="1562"/>
      <c r="K29" s="1562"/>
      <c r="L29" s="1562"/>
      <c r="M29" s="1563"/>
    </row>
    <row r="30" spans="1:13" ht="15" customHeight="1">
      <c r="A30" s="1564" t="s">
        <v>163</v>
      </c>
      <c r="B30" s="1565" t="s">
        <v>444</v>
      </c>
      <c r="C30" s="1565"/>
      <c r="D30" s="1565" t="s">
        <v>203</v>
      </c>
      <c r="E30" s="1565"/>
      <c r="F30" s="1565" t="s">
        <v>165</v>
      </c>
      <c r="G30" s="1565"/>
      <c r="H30" s="1559" t="s">
        <v>166</v>
      </c>
      <c r="I30" s="1566"/>
      <c r="J30" s="1559" t="s">
        <v>31</v>
      </c>
      <c r="K30" s="1566"/>
      <c r="L30" s="1559" t="s">
        <v>167</v>
      </c>
      <c r="M30" s="1560"/>
    </row>
    <row r="31" spans="1:13" ht="15" customHeight="1">
      <c r="A31" s="1564"/>
      <c r="B31" s="30" t="s">
        <v>18</v>
      </c>
      <c r="C31" s="30" t="s">
        <v>168</v>
      </c>
      <c r="D31" s="30" t="s">
        <v>18</v>
      </c>
      <c r="E31" s="30" t="s">
        <v>168</v>
      </c>
      <c r="F31" s="30" t="s">
        <v>18</v>
      </c>
      <c r="G31" s="30" t="s">
        <v>168</v>
      </c>
      <c r="H31" s="30" t="s">
        <v>18</v>
      </c>
      <c r="I31" s="30" t="s">
        <v>168</v>
      </c>
      <c r="J31" s="30" t="s">
        <v>18</v>
      </c>
      <c r="K31" s="30" t="s">
        <v>168</v>
      </c>
      <c r="L31" s="30" t="s">
        <v>18</v>
      </c>
      <c r="M31" s="43" t="s">
        <v>168</v>
      </c>
    </row>
    <row r="32" spans="1:13" ht="13.5" customHeight="1">
      <c r="A32" s="342" t="s">
        <v>169</v>
      </c>
      <c r="B32" s="33">
        <v>37100</v>
      </c>
      <c r="C32" s="44">
        <f>(B32/B49)*100</f>
        <v>33.48375451263538</v>
      </c>
      <c r="D32" s="33">
        <v>36735</v>
      </c>
      <c r="E32" s="44">
        <f>(D32/D49)*100</f>
        <v>32.878956036087644</v>
      </c>
      <c r="F32" s="33">
        <v>32010</v>
      </c>
      <c r="G32" s="44">
        <f>(F32/F49)*100</f>
        <v>28.816809355335295</v>
      </c>
      <c r="H32" s="33">
        <v>28735</v>
      </c>
      <c r="I32" s="44">
        <f>(H32/H49)*100</f>
        <v>25.393921719381034</v>
      </c>
      <c r="J32" s="33">
        <v>33610</v>
      </c>
      <c r="K32" s="44">
        <f>(J32/J49)*100</f>
        <v>32.14022740095436</v>
      </c>
      <c r="L32" s="33">
        <v>33494</v>
      </c>
      <c r="M32" s="45">
        <f>(L32/L49)*100</f>
        <v>34.55590289599389</v>
      </c>
    </row>
    <row r="33" spans="1:13" ht="13.5" customHeight="1">
      <c r="A33" s="335" t="s">
        <v>170</v>
      </c>
      <c r="B33" s="46">
        <v>20200</v>
      </c>
      <c r="C33" s="34">
        <f>(B33/B49)*100</f>
        <v>18.231046931407942</v>
      </c>
      <c r="D33" s="46">
        <v>25000</v>
      </c>
      <c r="E33" s="34">
        <f>(D33/D49)*100</f>
        <v>22.37576972647859</v>
      </c>
      <c r="F33" s="46">
        <v>20475</v>
      </c>
      <c r="G33" s="34">
        <f>(F33/F49)*100</f>
        <v>18.43249520620088</v>
      </c>
      <c r="H33" s="46">
        <v>25475</v>
      </c>
      <c r="I33" s="34">
        <f>(H33/H49)*100</f>
        <v>22.512968707194428</v>
      </c>
      <c r="J33" s="46">
        <v>17675</v>
      </c>
      <c r="K33" s="34">
        <f>(J33/J49)*100</f>
        <v>16.902068411540263</v>
      </c>
      <c r="L33" s="46">
        <v>14229</v>
      </c>
      <c r="M33" s="35">
        <f>(L33/L49)*100</f>
        <v>14.680120090377294</v>
      </c>
    </row>
    <row r="34" spans="1:13" ht="13.5" customHeight="1">
      <c r="A34" s="335" t="s">
        <v>171</v>
      </c>
      <c r="B34" s="46">
        <v>12300</v>
      </c>
      <c r="C34" s="34">
        <f>(B34/B49)*100</f>
        <v>11.101083032490974</v>
      </c>
      <c r="D34" s="46">
        <v>10954</v>
      </c>
      <c r="E34" s="34">
        <f>(D34/D49)*100</f>
        <v>9.80416726335386</v>
      </c>
      <c r="F34" s="46">
        <v>9670</v>
      </c>
      <c r="G34" s="34">
        <f>(F34/F49)*100</f>
        <v>8.705359152330281</v>
      </c>
      <c r="H34" s="46">
        <v>7170</v>
      </c>
      <c r="I34" s="34">
        <f>(H34/H49)*100</f>
        <v>6.33632917097484</v>
      </c>
      <c r="J34" s="46">
        <v>7734</v>
      </c>
      <c r="K34" s="34">
        <f>(J34/J49)*100</f>
        <v>7.395790500415977</v>
      </c>
      <c r="L34" s="46">
        <v>7822</v>
      </c>
      <c r="M34" s="35">
        <f>(L34/L49)*100</f>
        <v>8.069990817831977</v>
      </c>
    </row>
    <row r="35" spans="1:13" ht="13.5" customHeight="1">
      <c r="A35" s="335" t="s">
        <v>174</v>
      </c>
      <c r="B35" s="46">
        <v>5100</v>
      </c>
      <c r="C35" s="34">
        <f>(B35/B49)*100</f>
        <v>4.6028880866426</v>
      </c>
      <c r="D35" s="46">
        <v>5131</v>
      </c>
      <c r="E35" s="34">
        <f>(D35/D49)*100</f>
        <v>4.592402978662466</v>
      </c>
      <c r="F35" s="46">
        <v>4963</v>
      </c>
      <c r="G35" s="34">
        <f>(F35/F49)*100</f>
        <v>4.467910803827838</v>
      </c>
      <c r="H35" s="46">
        <v>5288</v>
      </c>
      <c r="I35" s="34">
        <f>(H35/H49)*100</f>
        <v>4.673153229583676</v>
      </c>
      <c r="J35" s="46">
        <v>5840</v>
      </c>
      <c r="K35" s="34">
        <f>(J35/J49)*100</f>
        <v>5.584615531733813</v>
      </c>
      <c r="L35" s="46">
        <v>4631</v>
      </c>
      <c r="M35" s="35">
        <f>(L35/L49)*100</f>
        <v>4.77782248496291</v>
      </c>
    </row>
    <row r="36" spans="1:13" ht="13.5" customHeight="1">
      <c r="A36" s="335" t="s">
        <v>172</v>
      </c>
      <c r="B36" s="46">
        <v>6600</v>
      </c>
      <c r="C36" s="34">
        <f>(B36/B49)*100</f>
        <v>5.956678700361011</v>
      </c>
      <c r="D36" s="46">
        <v>4548</v>
      </c>
      <c r="E36" s="34">
        <f>(D36/D49)*100</f>
        <v>4.070600028640985</v>
      </c>
      <c r="F36" s="46">
        <v>10882</v>
      </c>
      <c r="G36" s="34">
        <f>(F36/F49)*100</f>
        <v>9.79645483926144</v>
      </c>
      <c r="H36" s="46">
        <v>10940</v>
      </c>
      <c r="I36" s="34">
        <f>(H36/H49)*100</f>
        <v>9.667983421264262</v>
      </c>
      <c r="J36" s="46">
        <v>6185</v>
      </c>
      <c r="K36" s="34">
        <f>(J36/J49)*100</f>
        <v>5.914528606810554</v>
      </c>
      <c r="L36" s="46">
        <v>5489</v>
      </c>
      <c r="M36" s="35">
        <f>(L36/L49)*100</f>
        <v>5.6630247505854925</v>
      </c>
    </row>
    <row r="37" spans="1:13" ht="13.5" customHeight="1">
      <c r="A37" s="335" t="s">
        <v>176</v>
      </c>
      <c r="B37" s="37">
        <v>5000</v>
      </c>
      <c r="C37" s="34">
        <f>(B37/B49)*100</f>
        <v>4.512635379061372</v>
      </c>
      <c r="D37" s="37">
        <v>4261</v>
      </c>
      <c r="E37" s="34">
        <f>(D37/D49)*100</f>
        <v>3.8137261921810115</v>
      </c>
      <c r="F37" s="37">
        <v>4185</v>
      </c>
      <c r="G37" s="34">
        <f>(F37/F49)*100</f>
        <v>3.767520998190509</v>
      </c>
      <c r="H37" s="37">
        <v>5508</v>
      </c>
      <c r="I37" s="34">
        <f>(H37/H49)*100</f>
        <v>4.867573371510379</v>
      </c>
      <c r="J37" s="37">
        <v>3947</v>
      </c>
      <c r="K37" s="34">
        <f>(J37/J49)*100</f>
        <v>3.774396832834479</v>
      </c>
      <c r="L37" s="37">
        <v>3349</v>
      </c>
      <c r="M37" s="35">
        <f>(L37/L49)*100</f>
        <v>3.4551776078904743</v>
      </c>
    </row>
    <row r="38" spans="1:13" ht="13.5" customHeight="1">
      <c r="A38" s="335" t="s">
        <v>178</v>
      </c>
      <c r="B38" s="37">
        <v>3500</v>
      </c>
      <c r="C38" s="34">
        <f>(B38/B49)*100</f>
        <v>3.15884476534296</v>
      </c>
      <c r="D38" s="37">
        <v>3442</v>
      </c>
      <c r="E38" s="34">
        <f>(D38/D49)*100</f>
        <v>3.0806959759415724</v>
      </c>
      <c r="F38" s="37">
        <v>3672</v>
      </c>
      <c r="G38" s="34">
        <f>(F38/F49)*100</f>
        <v>3.3056958435736084</v>
      </c>
      <c r="H38" s="37">
        <v>2685</v>
      </c>
      <c r="I38" s="34">
        <f>(H38/H49)*100</f>
        <v>2.3728094594236326</v>
      </c>
      <c r="J38" s="37">
        <v>3142</v>
      </c>
      <c r="K38" s="34">
        <f>(J38/J49)*100</f>
        <v>3.004599657655418</v>
      </c>
      <c r="L38" s="37">
        <v>2657</v>
      </c>
      <c r="M38" s="35">
        <f>(L38/L49)*100</f>
        <v>2.7412382514675993</v>
      </c>
    </row>
    <row r="39" spans="1:13" ht="13.5" customHeight="1">
      <c r="A39" s="335" t="s">
        <v>173</v>
      </c>
      <c r="B39" s="46">
        <v>2900</v>
      </c>
      <c r="C39" s="34">
        <f>(B39/B49)*100</f>
        <v>2.6173285198555956</v>
      </c>
      <c r="D39" s="46">
        <v>3137</v>
      </c>
      <c r="E39" s="34">
        <f>(D39/D49)*100</f>
        <v>2.8077115852785335</v>
      </c>
      <c r="F39" s="46">
        <v>2870</v>
      </c>
      <c r="G39" s="34">
        <f>(F39/F49)*100</f>
        <v>2.583700182749525</v>
      </c>
      <c r="H39" s="46">
        <v>3203</v>
      </c>
      <c r="I39" s="34">
        <f>(H39/H49)*100</f>
        <v>2.8305805208692347</v>
      </c>
      <c r="J39" s="46">
        <v>2675</v>
      </c>
      <c r="K39" s="34">
        <f>(J39/J49)*100</f>
        <v>2.558021669073279</v>
      </c>
      <c r="L39" s="46">
        <v>3324</v>
      </c>
      <c r="M39" s="35">
        <f>(L39/L49)*100</f>
        <v>3.42938500108329</v>
      </c>
    </row>
    <row r="40" spans="1:13" ht="13.5" customHeight="1">
      <c r="A40" s="335" t="s">
        <v>179</v>
      </c>
      <c r="B40" s="46">
        <v>2900</v>
      </c>
      <c r="C40" s="34">
        <f>(B40/B49)*100</f>
        <v>2.6173285198555956</v>
      </c>
      <c r="D40" s="46">
        <v>3045</v>
      </c>
      <c r="E40" s="34">
        <f>(D40/D49)*100</f>
        <v>2.7253687526850925</v>
      </c>
      <c r="F40" s="46">
        <v>2575</v>
      </c>
      <c r="G40" s="34">
        <f>(F40/F49)*100</f>
        <v>2.3181282127456537</v>
      </c>
      <c r="H40" s="46">
        <v>3750</v>
      </c>
      <c r="I40" s="34">
        <f>(H40/H49)*100</f>
        <v>3.3139796919324476</v>
      </c>
      <c r="J40" s="46">
        <v>3697</v>
      </c>
      <c r="K40" s="34">
        <f>(J40/J49)*100</f>
        <v>3.5353293871266964</v>
      </c>
      <c r="L40" s="46">
        <v>3468</v>
      </c>
      <c r="M40" s="35">
        <f>(L40/L49)*100</f>
        <v>3.5779504162926736</v>
      </c>
    </row>
    <row r="41" spans="1:13" ht="13.5" customHeight="1">
      <c r="A41" s="336" t="s">
        <v>175</v>
      </c>
      <c r="B41" s="46">
        <v>2400</v>
      </c>
      <c r="C41" s="34">
        <f>(B41/B49)*100</f>
        <v>2.166064981949458</v>
      </c>
      <c r="D41" s="46">
        <v>2891</v>
      </c>
      <c r="E41" s="34">
        <f>(D41/D49)*100</f>
        <v>2.5875340111699843</v>
      </c>
      <c r="F41" s="46">
        <v>3971</v>
      </c>
      <c r="G41" s="34">
        <f>(F41/F49)*100</f>
        <v>3.574868789441939</v>
      </c>
      <c r="H41" s="46">
        <v>4310</v>
      </c>
      <c r="I41" s="34">
        <f>(H41/H49)*100</f>
        <v>3.8088673259276935</v>
      </c>
      <c r="J41" s="46">
        <v>4697</v>
      </c>
      <c r="K41" s="34">
        <f>(J41/J49)*100</f>
        <v>4.491599169957829</v>
      </c>
      <c r="L41" s="46">
        <v>3817</v>
      </c>
      <c r="M41" s="35">
        <f>(L41/L49)*100</f>
        <v>3.9380152073209738</v>
      </c>
    </row>
    <row r="42" spans="1:13" ht="13.5" customHeight="1">
      <c r="A42" s="336" t="s">
        <v>177</v>
      </c>
      <c r="B42" s="46">
        <v>2500</v>
      </c>
      <c r="C42" s="34">
        <f>(B42/B49)*100</f>
        <v>2.256317689530686</v>
      </c>
      <c r="D42" s="46">
        <v>2448</v>
      </c>
      <c r="E42" s="34">
        <f>(D42/D49)*100</f>
        <v>2.191035371616784</v>
      </c>
      <c r="F42" s="46">
        <v>3132</v>
      </c>
      <c r="G42" s="34">
        <f>(F42/F49)*100</f>
        <v>2.819564101871607</v>
      </c>
      <c r="H42" s="46">
        <v>3556</v>
      </c>
      <c r="I42" s="34">
        <f>(H42/H49)*100</f>
        <v>3.1425364758698096</v>
      </c>
      <c r="J42" s="46">
        <v>2907</v>
      </c>
      <c r="K42" s="34">
        <f>(J42/J49)*100</f>
        <v>2.7798762586901016</v>
      </c>
      <c r="L42" s="46">
        <v>2498</v>
      </c>
      <c r="M42" s="35">
        <f>(L42/L49)*100</f>
        <v>2.5771972721739043</v>
      </c>
    </row>
    <row r="43" spans="1:13" ht="13.5" customHeight="1">
      <c r="A43" s="335" t="s">
        <v>181</v>
      </c>
      <c r="B43" s="46">
        <v>1900</v>
      </c>
      <c r="C43" s="34">
        <f>(B43/B49)*100</f>
        <v>1.7148014440433215</v>
      </c>
      <c r="D43" s="46">
        <v>1900</v>
      </c>
      <c r="E43" s="34">
        <f>(D43/D49)*100</f>
        <v>1.7005584992123728</v>
      </c>
      <c r="F43" s="46">
        <v>1661</v>
      </c>
      <c r="G43" s="34">
        <f>(F43/F49)*100</f>
        <v>1.4953052277167111</v>
      </c>
      <c r="H43" s="46">
        <v>1987</v>
      </c>
      <c r="I43" s="34">
        <f>(H43/H49)*100</f>
        <v>1.7559673727652731</v>
      </c>
      <c r="J43" s="46">
        <v>1468</v>
      </c>
      <c r="K43" s="34">
        <f>(J43/J49)*100</f>
        <v>1.4038040411961021</v>
      </c>
      <c r="L43" s="46">
        <v>1712</v>
      </c>
      <c r="M43" s="35">
        <f>(L43/L49)*100</f>
        <v>1.7662777141560144</v>
      </c>
    </row>
    <row r="44" spans="1:13" ht="13.5" customHeight="1">
      <c r="A44" s="336" t="s">
        <v>180</v>
      </c>
      <c r="B44" s="46">
        <v>1400</v>
      </c>
      <c r="C44" s="34">
        <f>(B44/B49)*100</f>
        <v>1.263537906137184</v>
      </c>
      <c r="D44" s="46">
        <v>1567</v>
      </c>
      <c r="E44" s="34">
        <f>(D44/D49)*100</f>
        <v>1.4025132464556782</v>
      </c>
      <c r="F44" s="46">
        <v>1942</v>
      </c>
      <c r="G44" s="34">
        <f>(F44/F49)*100</f>
        <v>1.748273782194975</v>
      </c>
      <c r="H44" s="46">
        <v>1712</v>
      </c>
      <c r="I44" s="34">
        <f>(H44/H49)*100</f>
        <v>1.5129421953568933</v>
      </c>
      <c r="J44" s="46">
        <v>772</v>
      </c>
      <c r="K44" s="34">
        <f>(J44/J49)*100</f>
        <v>0.7382402723456342</v>
      </c>
      <c r="L44" s="46">
        <v>1912</v>
      </c>
      <c r="M44" s="35">
        <f>(L44/L49)*100</f>
        <v>1.9726185686134927</v>
      </c>
    </row>
    <row r="45" spans="1:13" ht="13.5" customHeight="1">
      <c r="A45" s="336" t="s">
        <v>182</v>
      </c>
      <c r="B45" s="37">
        <v>1100</v>
      </c>
      <c r="C45" s="34">
        <f>(B45/B49)*100</f>
        <v>0.9927797833935018</v>
      </c>
      <c r="D45" s="37">
        <v>1212</v>
      </c>
      <c r="E45" s="34">
        <f>(D45/D49)*100</f>
        <v>1.084777316339682</v>
      </c>
      <c r="F45" s="37">
        <v>1344</v>
      </c>
      <c r="G45" s="34">
        <f>(F45/F49)*100</f>
        <v>1.2099278904583142</v>
      </c>
      <c r="H45" s="37">
        <v>1374</v>
      </c>
      <c r="I45" s="34">
        <f>(H45/H49)*100</f>
        <v>1.2142421591240489</v>
      </c>
      <c r="J45" s="37">
        <v>1243</v>
      </c>
      <c r="K45" s="34">
        <f>(J45/J49)*100</f>
        <v>1.1886433400590974</v>
      </c>
      <c r="L45" s="37">
        <v>1200</v>
      </c>
      <c r="M45" s="35">
        <f>(L45/L49)*100</f>
        <v>1.23804512674487</v>
      </c>
    </row>
    <row r="46" spans="1:13" ht="13.5" customHeight="1">
      <c r="A46" s="336" t="s">
        <v>183</v>
      </c>
      <c r="B46" s="46">
        <v>430</v>
      </c>
      <c r="C46" s="34">
        <f>(B46/B49)*100</f>
        <v>0.388086642599278</v>
      </c>
      <c r="D46" s="46">
        <v>430</v>
      </c>
      <c r="E46" s="34">
        <f>(D46/D49)*100</f>
        <v>0.38486323929543176</v>
      </c>
      <c r="F46" s="46">
        <v>1103</v>
      </c>
      <c r="G46" s="34">
        <f>(F46/F49)*100</f>
        <v>0.9929690946246433</v>
      </c>
      <c r="H46" s="46">
        <v>1044</v>
      </c>
      <c r="I46" s="34">
        <f>(H46/H49)*100</f>
        <v>0.9226119462339935</v>
      </c>
      <c r="J46" s="46">
        <v>1826</v>
      </c>
      <c r="K46" s="34">
        <f>(J46/J49)*100</f>
        <v>1.7461486234496477</v>
      </c>
      <c r="L46" s="46">
        <v>1082</v>
      </c>
      <c r="M46" s="35">
        <f>(L46/L49)*100</f>
        <v>1.1163040226149576</v>
      </c>
    </row>
    <row r="47" spans="1:13" ht="17.25" customHeight="1" hidden="1">
      <c r="A47" s="335"/>
      <c r="B47" s="46">
        <f>SUM(B32:B46)</f>
        <v>105330</v>
      </c>
      <c r="C47" s="335"/>
      <c r="D47" s="46">
        <f>SUM(D32:D46)</f>
        <v>106701</v>
      </c>
      <c r="E47" s="335"/>
      <c r="F47" s="46">
        <f>SUM(F32:F46)</f>
        <v>104455</v>
      </c>
      <c r="G47" s="335"/>
      <c r="H47" s="46">
        <f>SUM(H32:H46)</f>
        <v>106737</v>
      </c>
      <c r="I47" s="335"/>
      <c r="J47" s="46">
        <f>SUM(J32:J46)</f>
        <v>97418</v>
      </c>
      <c r="K47" s="335"/>
      <c r="L47" s="46">
        <f>SUM(L32:L46)</f>
        <v>90684</v>
      </c>
      <c r="M47" s="336"/>
    </row>
    <row r="48" spans="1:13" ht="15">
      <c r="A48" s="343" t="s">
        <v>184</v>
      </c>
      <c r="B48" s="38">
        <f>B49-B47</f>
        <v>5470</v>
      </c>
      <c r="C48" s="39">
        <f>(B48/B49)*100</f>
        <v>4.936823104693141</v>
      </c>
      <c r="D48" s="38">
        <f>D49-D47</f>
        <v>5027</v>
      </c>
      <c r="E48" s="39">
        <f>(D48/D49)*100</f>
        <v>4.499319776600315</v>
      </c>
      <c r="F48" s="38">
        <f>F49-F47</f>
        <v>6626</v>
      </c>
      <c r="G48" s="39">
        <f>(F48/F49)*100</f>
        <v>5.965016519476778</v>
      </c>
      <c r="H48" s="38">
        <f>H49-H47</f>
        <v>6420</v>
      </c>
      <c r="I48" s="39">
        <f>(H48/H49)*100</f>
        <v>5.67353323258835</v>
      </c>
      <c r="J48" s="38">
        <f>J49-J47</f>
        <v>7155</v>
      </c>
      <c r="K48" s="39">
        <f>(J48/J49)*100</f>
        <v>6.8421102961567515</v>
      </c>
      <c r="L48" s="38">
        <f>L49-L47</f>
        <v>6243</v>
      </c>
      <c r="M48" s="40">
        <f>(L48/L49)*100</f>
        <v>6.440929771890186</v>
      </c>
    </row>
    <row r="49" spans="1:13" ht="18" customHeight="1">
      <c r="A49" s="344" t="s">
        <v>115</v>
      </c>
      <c r="B49" s="338">
        <v>110800</v>
      </c>
      <c r="C49" s="339">
        <f>SUM(C32:C48)</f>
        <v>99.99999999999999</v>
      </c>
      <c r="D49" s="338">
        <v>111728</v>
      </c>
      <c r="E49" s="339">
        <f>SUM(E32:E48)</f>
        <v>99.99999999999999</v>
      </c>
      <c r="F49" s="338">
        <v>111081</v>
      </c>
      <c r="G49" s="339">
        <f>SUM(G32:G48)</f>
        <v>99.99999999999999</v>
      </c>
      <c r="H49" s="338">
        <v>113157</v>
      </c>
      <c r="I49" s="339">
        <f>SUM(I32:I48)</f>
        <v>100</v>
      </c>
      <c r="J49" s="338">
        <v>104573</v>
      </c>
      <c r="K49" s="339">
        <f>SUM(K32:K48)</f>
        <v>99.99999999999999</v>
      </c>
      <c r="L49" s="338">
        <v>96927</v>
      </c>
      <c r="M49" s="340">
        <f>SUM(M32:M48)</f>
        <v>100</v>
      </c>
    </row>
    <row r="50" spans="1:13" ht="15" customHeight="1">
      <c r="A50" s="345" t="s">
        <v>188</v>
      </c>
      <c r="B50" s="345"/>
      <c r="C50" s="345"/>
      <c r="D50" s="47"/>
      <c r="E50" s="47"/>
      <c r="F50" s="48"/>
      <c r="G50" s="48"/>
      <c r="H50" s="48"/>
      <c r="I50" s="48"/>
      <c r="J50" s="346"/>
      <c r="K50" s="347"/>
      <c r="L50" s="346"/>
      <c r="M50" s="347"/>
    </row>
    <row r="51" spans="1:13" ht="9" customHeight="1">
      <c r="A51" s="42"/>
      <c r="B51" s="42"/>
      <c r="C51" s="42"/>
      <c r="D51" s="47"/>
      <c r="E51" s="47"/>
      <c r="F51" s="48"/>
      <c r="G51" s="48"/>
      <c r="H51" s="48"/>
      <c r="I51" s="48"/>
      <c r="J51" s="346"/>
      <c r="K51" s="347"/>
      <c r="L51" s="346"/>
      <c r="M51" s="347"/>
    </row>
    <row r="52" spans="1:13" ht="15" customHeight="1">
      <c r="A52" s="1561" t="s">
        <v>189</v>
      </c>
      <c r="B52" s="1561"/>
      <c r="C52" s="1561"/>
      <c r="D52" s="1562"/>
      <c r="E52" s="1562"/>
      <c r="F52" s="1562"/>
      <c r="G52" s="1562"/>
      <c r="H52" s="1562"/>
      <c r="I52" s="1562"/>
      <c r="J52" s="1562"/>
      <c r="K52" s="1562"/>
      <c r="L52" s="1562"/>
      <c r="M52" s="1563"/>
    </row>
    <row r="53" spans="1:13" ht="15" customHeight="1">
      <c r="A53" s="1564" t="s">
        <v>163</v>
      </c>
      <c r="B53" s="1565" t="s">
        <v>449</v>
      </c>
      <c r="C53" s="1565"/>
      <c r="D53" s="1565" t="s">
        <v>164</v>
      </c>
      <c r="E53" s="1565"/>
      <c r="F53" s="1565" t="s">
        <v>165</v>
      </c>
      <c r="G53" s="1565"/>
      <c r="H53" s="1559" t="s">
        <v>166</v>
      </c>
      <c r="I53" s="1566"/>
      <c r="J53" s="1559" t="s">
        <v>31</v>
      </c>
      <c r="K53" s="1566"/>
      <c r="L53" s="1559" t="s">
        <v>167</v>
      </c>
      <c r="M53" s="1560"/>
    </row>
    <row r="54" spans="1:13" ht="15" customHeight="1">
      <c r="A54" s="1564"/>
      <c r="B54" s="30" t="s">
        <v>17</v>
      </c>
      <c r="C54" s="30" t="s">
        <v>168</v>
      </c>
      <c r="D54" s="30" t="s">
        <v>17</v>
      </c>
      <c r="E54" s="30" t="s">
        <v>168</v>
      </c>
      <c r="F54" s="30" t="s">
        <v>17</v>
      </c>
      <c r="G54" s="30" t="s">
        <v>168</v>
      </c>
      <c r="H54" s="30" t="s">
        <v>17</v>
      </c>
      <c r="I54" s="30" t="s">
        <v>168</v>
      </c>
      <c r="J54" s="30" t="s">
        <v>17</v>
      </c>
      <c r="K54" s="30" t="s">
        <v>168</v>
      </c>
      <c r="L54" s="30" t="s">
        <v>17</v>
      </c>
      <c r="M54" s="43" t="s">
        <v>168</v>
      </c>
    </row>
    <row r="55" spans="1:13" ht="13.5" customHeight="1">
      <c r="A55" s="342" t="s">
        <v>169</v>
      </c>
      <c r="B55" s="33">
        <v>21000</v>
      </c>
      <c r="C55" s="44">
        <f>(B55/B72)*100</f>
        <v>43.75</v>
      </c>
      <c r="D55" s="33">
        <v>20333</v>
      </c>
      <c r="E55" s="44">
        <f>(D55/D72)*100</f>
        <v>44.00986991623558</v>
      </c>
      <c r="F55" s="33">
        <v>20085</v>
      </c>
      <c r="G55" s="44">
        <f>(F55/F72)*100</f>
        <v>44.641269559032715</v>
      </c>
      <c r="H55" s="33">
        <v>20330</v>
      </c>
      <c r="I55" s="44">
        <f>(H55/H72)*100</f>
        <v>45.97259282709963</v>
      </c>
      <c r="J55" s="33">
        <v>19720</v>
      </c>
      <c r="K55" s="44">
        <f>(J55/J72)*100</f>
        <v>46.08122634014114</v>
      </c>
      <c r="L55" s="33">
        <v>19131.83</v>
      </c>
      <c r="M55" s="45">
        <f>(L55/L72)*100</f>
        <v>46.657310084136085</v>
      </c>
    </row>
    <row r="56" spans="1:13" ht="13.5" customHeight="1">
      <c r="A56" s="335" t="s">
        <v>172</v>
      </c>
      <c r="B56" s="46">
        <v>4200</v>
      </c>
      <c r="C56" s="34">
        <f>(B56/B72)*100</f>
        <v>8.75</v>
      </c>
      <c r="D56" s="46">
        <v>3584</v>
      </c>
      <c r="E56" s="34">
        <f>(D56/D72)*100</f>
        <v>7.757407848314972</v>
      </c>
      <c r="F56" s="46">
        <v>3584</v>
      </c>
      <c r="G56" s="34">
        <f>(F56/F72)*100</f>
        <v>7.965860597439544</v>
      </c>
      <c r="H56" s="46">
        <v>3584</v>
      </c>
      <c r="I56" s="34">
        <f>(H56/H72)*100</f>
        <v>8.104563339514268</v>
      </c>
      <c r="J56" s="46">
        <v>3333</v>
      </c>
      <c r="K56" s="34">
        <f>(J56/J72)*100</f>
        <v>7.788475019862598</v>
      </c>
      <c r="L56" s="46">
        <v>3333</v>
      </c>
      <c r="M56" s="35">
        <f>(L56/L72)*100</f>
        <v>8.128277039385441</v>
      </c>
    </row>
    <row r="57" spans="1:13" ht="13.5" customHeight="1">
      <c r="A57" s="335" t="s">
        <v>173</v>
      </c>
      <c r="B57" s="46">
        <v>3700</v>
      </c>
      <c r="C57" s="34">
        <f>(B57/B72)*100</f>
        <v>7.708333333333334</v>
      </c>
      <c r="D57" s="46">
        <v>3383</v>
      </c>
      <c r="E57" s="34">
        <f>(D57/D72)*100</f>
        <v>7.322352330036147</v>
      </c>
      <c r="F57" s="46">
        <v>3383</v>
      </c>
      <c r="G57" s="34">
        <f>(F57/F72)*100</f>
        <v>7.519114509246089</v>
      </c>
      <c r="H57" s="46">
        <v>3383</v>
      </c>
      <c r="I57" s="34">
        <f>(H57/H72)*100</f>
        <v>7.650038442404234</v>
      </c>
      <c r="J57" s="46">
        <v>3383</v>
      </c>
      <c r="K57" s="34">
        <f>(J57/J72)*100</f>
        <v>7.905313829041455</v>
      </c>
      <c r="L57" s="46">
        <v>3253</v>
      </c>
      <c r="M57" s="35">
        <f>(L57/L72)*100</f>
        <v>7.933178880624315</v>
      </c>
    </row>
    <row r="58" spans="1:13" ht="13.5" customHeight="1">
      <c r="A58" s="335" t="s">
        <v>177</v>
      </c>
      <c r="B58" s="46">
        <v>2400</v>
      </c>
      <c r="C58" s="34">
        <f>(B58/B72)*100</f>
        <v>5</v>
      </c>
      <c r="D58" s="46">
        <v>2354</v>
      </c>
      <c r="E58" s="34">
        <f>(D58/D72)*100</f>
        <v>5.09512781108634</v>
      </c>
      <c r="F58" s="46">
        <v>2354</v>
      </c>
      <c r="G58" s="34">
        <f>(F58/F72)*100</f>
        <v>5.232041251778094</v>
      </c>
      <c r="H58" s="46">
        <v>2354</v>
      </c>
      <c r="I58" s="34">
        <f>(H58/H72)*100</f>
        <v>5.3231423273483784</v>
      </c>
      <c r="J58" s="46">
        <v>2354</v>
      </c>
      <c r="K58" s="34">
        <f>(J58/J72)*100</f>
        <v>5.50077113614058</v>
      </c>
      <c r="L58" s="46">
        <v>2239</v>
      </c>
      <c r="M58" s="35">
        <f>(L58/L72)*100</f>
        <v>5.460309718327033</v>
      </c>
    </row>
    <row r="59" spans="1:13" ht="13.5" customHeight="1">
      <c r="A59" s="335" t="s">
        <v>174</v>
      </c>
      <c r="B59" s="46">
        <v>2300</v>
      </c>
      <c r="C59" s="34">
        <f>(B59/B72)*100</f>
        <v>4.791666666666667</v>
      </c>
      <c r="D59" s="46">
        <v>1917</v>
      </c>
      <c r="E59" s="34">
        <f>(D59/D72)*100</f>
        <v>4.149260838509989</v>
      </c>
      <c r="F59" s="46">
        <v>1917</v>
      </c>
      <c r="G59" s="34">
        <f>(F59/F72)*100</f>
        <v>4.260757467994311</v>
      </c>
      <c r="H59" s="46">
        <v>1917</v>
      </c>
      <c r="I59" s="34">
        <f>(H59/H72)*100</f>
        <v>4.334946406765863</v>
      </c>
      <c r="J59" s="46">
        <v>1829</v>
      </c>
      <c r="K59" s="34">
        <f>(J59/J72)*100</f>
        <v>4.2739636397625835</v>
      </c>
      <c r="L59" s="46">
        <v>1725</v>
      </c>
      <c r="M59" s="35">
        <f>(L59/L72)*100</f>
        <v>4.206804048286794</v>
      </c>
    </row>
    <row r="60" spans="1:13" ht="13.5" customHeight="1">
      <c r="A60" s="335" t="s">
        <v>170</v>
      </c>
      <c r="B60" s="46">
        <v>2300</v>
      </c>
      <c r="C60" s="34">
        <f>(B60/B72)*100</f>
        <v>4.791666666666667</v>
      </c>
      <c r="D60" s="46">
        <v>1583</v>
      </c>
      <c r="E60" s="34">
        <f>(D60/D72)*100</f>
        <v>3.4263327633601</v>
      </c>
      <c r="F60" s="46">
        <v>1583</v>
      </c>
      <c r="G60" s="34">
        <f>(F60/F72)*100</f>
        <v>3.5184032716927454</v>
      </c>
      <c r="H60" s="46">
        <v>1583</v>
      </c>
      <c r="I60" s="34">
        <f>(H60/H72)*100</f>
        <v>3.5796662294785406</v>
      </c>
      <c r="J60" s="46">
        <v>1583</v>
      </c>
      <c r="K60" s="34">
        <f>(J60/J72)*100</f>
        <v>3.699116698602608</v>
      </c>
      <c r="L60" s="46">
        <v>1302</v>
      </c>
      <c r="M60" s="35">
        <f>(L60/L72)*100</f>
        <v>3.1752225338373368</v>
      </c>
    </row>
    <row r="61" spans="1:13" ht="13.5" customHeight="1">
      <c r="A61" s="335" t="s">
        <v>171</v>
      </c>
      <c r="B61" s="46">
        <v>1600</v>
      </c>
      <c r="C61" s="34">
        <f>(B61/B72)*100</f>
        <v>3.3333333333333335</v>
      </c>
      <c r="D61" s="46">
        <v>1439</v>
      </c>
      <c r="E61" s="34">
        <f>(D61/D72)*100</f>
        <v>3.1146511980260168</v>
      </c>
      <c r="F61" s="46">
        <v>1439</v>
      </c>
      <c r="G61" s="34">
        <f>(F61/F72)*100</f>
        <v>3.1983463726884778</v>
      </c>
      <c r="H61" s="46">
        <v>1439</v>
      </c>
      <c r="I61" s="34">
        <f>(H61/H72)*100</f>
        <v>3.2540364524444843</v>
      </c>
      <c r="J61" s="46">
        <v>1439</v>
      </c>
      <c r="K61" s="34">
        <f>(J61/J72)*100</f>
        <v>3.3626209281675</v>
      </c>
      <c r="L61" s="46">
        <v>1308</v>
      </c>
      <c r="M61" s="35">
        <f>(L61/L72)*100</f>
        <v>3.1898548957444213</v>
      </c>
    </row>
    <row r="62" spans="1:13" ht="13.5" customHeight="1">
      <c r="A62" s="335" t="s">
        <v>176</v>
      </c>
      <c r="B62" s="37">
        <v>300</v>
      </c>
      <c r="C62" s="34">
        <f>(B62/B72)*100</f>
        <v>0.625</v>
      </c>
      <c r="D62" s="37">
        <v>345</v>
      </c>
      <c r="E62" s="34">
        <f>(D62/D72)*100</f>
        <v>0.7467370836129088</v>
      </c>
      <c r="F62" s="37">
        <v>345</v>
      </c>
      <c r="G62" s="34">
        <f>(F62/F72)*100</f>
        <v>0.766802987197724</v>
      </c>
      <c r="H62" s="37">
        <v>345</v>
      </c>
      <c r="I62" s="34">
        <f>(H62/H72)*100</f>
        <v>0.7801546741440911</v>
      </c>
      <c r="J62" s="37">
        <v>345</v>
      </c>
      <c r="K62" s="34">
        <f>(J62/J72)*100</f>
        <v>0.8061877833341122</v>
      </c>
      <c r="L62" s="37">
        <v>345</v>
      </c>
      <c r="M62" s="35">
        <f>(L62/L72)*100</f>
        <v>0.8413608096573589</v>
      </c>
    </row>
    <row r="63" spans="1:13" ht="13.5" customHeight="1">
      <c r="A63" s="335" t="s">
        <v>179</v>
      </c>
      <c r="B63" s="46">
        <v>300</v>
      </c>
      <c r="C63" s="34">
        <f>(B63/B72)*100</f>
        <v>0.625</v>
      </c>
      <c r="D63" s="46">
        <v>340</v>
      </c>
      <c r="E63" s="34">
        <f>(D63/D72)*100</f>
        <v>0.7359148070388087</v>
      </c>
      <c r="F63" s="46">
        <v>340</v>
      </c>
      <c r="G63" s="34">
        <f>(F63/F72)*100</f>
        <v>0.7556899004267426</v>
      </c>
      <c r="H63" s="46">
        <v>340</v>
      </c>
      <c r="I63" s="34">
        <f>(H63/H72)*100</f>
        <v>0.768848084663742</v>
      </c>
      <c r="J63" s="46">
        <v>340</v>
      </c>
      <c r="K63" s="34">
        <f>(J63/J72)*100</f>
        <v>0.7945039024162265</v>
      </c>
      <c r="L63" s="46">
        <v>340</v>
      </c>
      <c r="M63" s="35">
        <f>(L63/L72)*100</f>
        <v>0.8291671747347884</v>
      </c>
    </row>
    <row r="64" spans="1:13" ht="13.5" customHeight="1">
      <c r="A64" s="336" t="s">
        <v>180</v>
      </c>
      <c r="B64" s="46">
        <v>300</v>
      </c>
      <c r="C64" s="34">
        <f>(B64/B72)*100</f>
        <v>0.625</v>
      </c>
      <c r="D64" s="46">
        <v>317</v>
      </c>
      <c r="E64" s="34">
        <f>(D64/D72)*100</f>
        <v>0.6861323347979481</v>
      </c>
      <c r="F64" s="46">
        <v>317</v>
      </c>
      <c r="G64" s="34">
        <f>(F64/F72)*100</f>
        <v>0.7045697012802276</v>
      </c>
      <c r="H64" s="46">
        <v>317</v>
      </c>
      <c r="I64" s="34">
        <f>(H64/H72)*100</f>
        <v>0.7168377730541359</v>
      </c>
      <c r="J64" s="46">
        <v>317</v>
      </c>
      <c r="K64" s="34">
        <f>(J64/J72)*100</f>
        <v>0.7407580501939525</v>
      </c>
      <c r="L64" s="46">
        <v>317</v>
      </c>
      <c r="M64" s="35">
        <f>(L64/L72)*100</f>
        <v>0.7730764540909646</v>
      </c>
    </row>
    <row r="65" spans="1:13" ht="13.5" customHeight="1">
      <c r="A65" s="336" t="s">
        <v>183</v>
      </c>
      <c r="B65" s="46">
        <v>275</v>
      </c>
      <c r="C65" s="34">
        <f>(B65/B72)*100</f>
        <v>0.5729166666666666</v>
      </c>
      <c r="D65" s="46">
        <v>275</v>
      </c>
      <c r="E65" s="34">
        <f>(D65/D72)*100</f>
        <v>0.595225211575507</v>
      </c>
      <c r="F65" s="46">
        <v>275</v>
      </c>
      <c r="G65" s="34">
        <f>(F65/F72)*100</f>
        <v>0.611219772403983</v>
      </c>
      <c r="H65" s="46">
        <v>275</v>
      </c>
      <c r="I65" s="34">
        <f>(H65/H72)*100</f>
        <v>0.6218624214192031</v>
      </c>
      <c r="J65" s="46">
        <v>271</v>
      </c>
      <c r="K65" s="34">
        <f>(J65/J72)*100</f>
        <v>0.6332663457494041</v>
      </c>
      <c r="L65" s="46">
        <v>275</v>
      </c>
      <c r="M65" s="35">
        <f>(L65/L72)*100</f>
        <v>0.670649920741373</v>
      </c>
    </row>
    <row r="66" spans="1:13" ht="13.5" customHeight="1">
      <c r="A66" s="336" t="s">
        <v>182</v>
      </c>
      <c r="B66" s="46">
        <v>200</v>
      </c>
      <c r="C66" s="34">
        <f>(B66/B72)*100</f>
        <v>0.4166666666666667</v>
      </c>
      <c r="D66" s="46">
        <v>251</v>
      </c>
      <c r="E66" s="34">
        <f>(D66/D72)*100</f>
        <v>0.5432782840198264</v>
      </c>
      <c r="F66" s="46">
        <v>251</v>
      </c>
      <c r="G66" s="34">
        <f>(F66/F72)*100</f>
        <v>0.5578769559032717</v>
      </c>
      <c r="H66" s="46">
        <v>251</v>
      </c>
      <c r="I66" s="34">
        <f>(H66/H72)*100</f>
        <v>0.5675907919135272</v>
      </c>
      <c r="J66" s="46">
        <v>270</v>
      </c>
      <c r="K66" s="34">
        <f>(J66/J72)*100</f>
        <v>0.630929569565827</v>
      </c>
      <c r="L66" s="46">
        <v>282</v>
      </c>
      <c r="M66" s="35">
        <f>(L66/L72)*100</f>
        <v>0.6877210096329716</v>
      </c>
    </row>
    <row r="67" spans="1:13" ht="13.5" customHeight="1">
      <c r="A67" s="336" t="s">
        <v>175</v>
      </c>
      <c r="B67" s="46">
        <v>300</v>
      </c>
      <c r="C67" s="34">
        <f>(B67/B72)*100</f>
        <v>0.625</v>
      </c>
      <c r="D67" s="46">
        <v>250</v>
      </c>
      <c r="E67" s="34">
        <f>(D67/D72)*100</f>
        <v>0.5411138287050064</v>
      </c>
      <c r="F67" s="46">
        <v>250</v>
      </c>
      <c r="G67" s="34">
        <f>(F67/F72)*100</f>
        <v>0.5556543385490753</v>
      </c>
      <c r="H67" s="46">
        <v>250</v>
      </c>
      <c r="I67" s="34">
        <f>(H67/H72)*100</f>
        <v>0.5653294740174574</v>
      </c>
      <c r="J67" s="46">
        <v>250</v>
      </c>
      <c r="K67" s="34">
        <f>(J67/J72)*100</f>
        <v>0.5841940458942843</v>
      </c>
      <c r="L67" s="46">
        <v>250</v>
      </c>
      <c r="M67" s="35">
        <f>(L67/L72)*100</f>
        <v>0.6096817461285209</v>
      </c>
    </row>
    <row r="68" spans="1:13" ht="13.5" customHeight="1">
      <c r="A68" s="335" t="s">
        <v>181</v>
      </c>
      <c r="B68" s="46">
        <v>204</v>
      </c>
      <c r="C68" s="34">
        <f>(B68/B72)*100</f>
        <v>0.42500000000000004</v>
      </c>
      <c r="D68" s="46">
        <v>204</v>
      </c>
      <c r="E68" s="34">
        <f>(D68/D72)*100</f>
        <v>0.44154888422328525</v>
      </c>
      <c r="F68" s="46">
        <v>204</v>
      </c>
      <c r="G68" s="34">
        <f>(F68/F72)*100</f>
        <v>0.4534139402560455</v>
      </c>
      <c r="H68" s="46">
        <v>204</v>
      </c>
      <c r="I68" s="34">
        <f>(H68/H72)*100</f>
        <v>0.46130885079824524</v>
      </c>
      <c r="J68" s="46">
        <v>202</v>
      </c>
      <c r="K68" s="34">
        <f>(J68/J72)*100</f>
        <v>0.47202878908258167</v>
      </c>
      <c r="L68" s="46">
        <v>199</v>
      </c>
      <c r="M68" s="35">
        <f>(L68/L72)*100</f>
        <v>0.4853066699183026</v>
      </c>
    </row>
    <row r="69" spans="1:13" ht="13.5" customHeight="1">
      <c r="A69" s="336" t="s">
        <v>178</v>
      </c>
      <c r="B69" s="46">
        <v>200</v>
      </c>
      <c r="C69" s="34">
        <f>(B69/B72)*100</f>
        <v>0.4166666666666667</v>
      </c>
      <c r="D69" s="46">
        <v>140</v>
      </c>
      <c r="E69" s="34">
        <f>(D69/D72)*100</f>
        <v>0.30302374407480354</v>
      </c>
      <c r="F69" s="46">
        <v>140</v>
      </c>
      <c r="G69" s="34">
        <f>(F69/F72)*100</f>
        <v>0.3111664295874822</v>
      </c>
      <c r="H69" s="46">
        <v>140</v>
      </c>
      <c r="I69" s="34">
        <f>(H69/H72)*100</f>
        <v>0.3165845054497761</v>
      </c>
      <c r="J69" s="46">
        <v>140</v>
      </c>
      <c r="K69" s="34">
        <f>(J69/J72)*100</f>
        <v>0.3271486657007992</v>
      </c>
      <c r="L69" s="46">
        <v>140</v>
      </c>
      <c r="M69" s="35">
        <f>(L69/L72)*100</f>
        <v>0.3414217778319717</v>
      </c>
    </row>
    <row r="70" spans="1:13" ht="15" customHeight="1" hidden="1">
      <c r="A70" s="335"/>
      <c r="B70" s="46">
        <f>SUM(B55:B69)</f>
        <v>39579</v>
      </c>
      <c r="C70" s="34"/>
      <c r="D70" s="46">
        <f>SUM(D55:D69)</f>
        <v>36715</v>
      </c>
      <c r="E70" s="34"/>
      <c r="F70" s="46">
        <f>SUM(F55:F69)</f>
        <v>36467</v>
      </c>
      <c r="G70" s="34"/>
      <c r="H70" s="46">
        <f>SUM(H55:H69)</f>
        <v>36712</v>
      </c>
      <c r="I70" s="34"/>
      <c r="J70" s="46">
        <f>SUM(J55:J69)</f>
        <v>35776</v>
      </c>
      <c r="K70" s="34"/>
      <c r="L70" s="46">
        <f>SUM(L55:L69)</f>
        <v>34439.83</v>
      </c>
      <c r="M70" s="35"/>
    </row>
    <row r="71" spans="1:13" ht="15" customHeight="1">
      <c r="A71" s="343" t="s">
        <v>184</v>
      </c>
      <c r="B71" s="38">
        <f>B72-B70</f>
        <v>8421</v>
      </c>
      <c r="C71" s="39">
        <f>(B71/B72)*100</f>
        <v>17.54375</v>
      </c>
      <c r="D71" s="38">
        <f>D72-D70</f>
        <v>9486</v>
      </c>
      <c r="E71" s="39">
        <f>(D71/D72)*100</f>
        <v>20.53202311638276</v>
      </c>
      <c r="F71" s="38">
        <f>F72-F70</f>
        <v>8525</v>
      </c>
      <c r="G71" s="39">
        <f>(F71/F72)*100</f>
        <v>18.94781294452347</v>
      </c>
      <c r="H71" s="38">
        <f>H72-H70</f>
        <v>7510</v>
      </c>
      <c r="I71" s="39">
        <f>(H71/H72)*100</f>
        <v>16.98249739948442</v>
      </c>
      <c r="J71" s="38">
        <f>J72-J70</f>
        <v>7018</v>
      </c>
      <c r="K71" s="39">
        <f>(J71/J72)*100</f>
        <v>16.39949525634435</v>
      </c>
      <c r="L71" s="38">
        <f>L72-L70</f>
        <v>6565.169999999998</v>
      </c>
      <c r="M71" s="40">
        <f>(L71/L72)*100</f>
        <v>16.01065723692232</v>
      </c>
    </row>
    <row r="72" spans="1:13" ht="18" customHeight="1">
      <c r="A72" s="337" t="s">
        <v>115</v>
      </c>
      <c r="B72" s="348">
        <v>48000</v>
      </c>
      <c r="C72" s="339">
        <f>SUM(C55:C71)</f>
        <v>100.00000000000003</v>
      </c>
      <c r="D72" s="348">
        <v>46201</v>
      </c>
      <c r="E72" s="339">
        <f>SUM(E55:E71)</f>
        <v>99.99999999999999</v>
      </c>
      <c r="F72" s="348">
        <v>44992</v>
      </c>
      <c r="G72" s="339">
        <f>SUM(G55:G71)</f>
        <v>100</v>
      </c>
      <c r="H72" s="348">
        <v>44222</v>
      </c>
      <c r="I72" s="339">
        <f>SUM(I55:I71)</f>
        <v>100.00000000000001</v>
      </c>
      <c r="J72" s="348">
        <v>42794</v>
      </c>
      <c r="K72" s="339">
        <f>SUM(K55:K71)</f>
        <v>100</v>
      </c>
      <c r="L72" s="348">
        <v>41005</v>
      </c>
      <c r="M72" s="340">
        <f>SUM(M55:M71)</f>
        <v>100</v>
      </c>
    </row>
    <row r="73" spans="1:13" ht="15" customHeight="1">
      <c r="A73" s="345" t="s">
        <v>190</v>
      </c>
      <c r="B73" s="345"/>
      <c r="C73" s="345"/>
      <c r="D73" s="47"/>
      <c r="E73" s="47"/>
      <c r="F73" s="49"/>
      <c r="G73" s="49"/>
      <c r="H73" s="349"/>
      <c r="I73" s="349"/>
      <c r="J73" s="349"/>
      <c r="K73" s="349"/>
      <c r="L73" s="349"/>
      <c r="M73" s="349"/>
    </row>
    <row r="74" spans="1:13" ht="12.75" customHeight="1">
      <c r="A74" s="42" t="s">
        <v>186</v>
      </c>
      <c r="B74" s="42"/>
      <c r="C74" s="42"/>
      <c r="D74"/>
      <c r="E74"/>
      <c r="F74" s="3"/>
      <c r="G74" s="3"/>
      <c r="H74" s="29"/>
      <c r="I74" s="29"/>
      <c r="J74" s="29"/>
      <c r="K74" s="29"/>
      <c r="L74" s="29"/>
      <c r="M74" s="29"/>
    </row>
    <row r="75" spans="1:13" ht="15">
      <c r="A75"/>
      <c r="B75"/>
      <c r="C75"/>
      <c r="D75"/>
      <c r="E75"/>
      <c r="F75" s="6"/>
      <c r="G75" s="29"/>
      <c r="H75" s="29"/>
      <c r="I75" s="29"/>
      <c r="J75" s="29"/>
      <c r="K75" s="29"/>
      <c r="L75" s="29"/>
      <c r="M75" s="29"/>
    </row>
    <row r="76" spans="1:6" ht="15">
      <c r="A76"/>
      <c r="B76"/>
      <c r="C76"/>
      <c r="D76"/>
      <c r="E76"/>
      <c r="F76" s="29"/>
    </row>
  </sheetData>
  <sheetProtection/>
  <mergeCells count="29">
    <mergeCell ref="A52:M52"/>
    <mergeCell ref="A53:A54"/>
    <mergeCell ref="D53:E53"/>
    <mergeCell ref="F53:G53"/>
    <mergeCell ref="H53:I53"/>
    <mergeCell ref="J53:K53"/>
    <mergeCell ref="L53:M53"/>
    <mergeCell ref="B53:C53"/>
    <mergeCell ref="A6:M6"/>
    <mergeCell ref="L7:M7"/>
    <mergeCell ref="A29:M29"/>
    <mergeCell ref="A30:A31"/>
    <mergeCell ref="D30:E30"/>
    <mergeCell ref="F30:G30"/>
    <mergeCell ref="H30:I30"/>
    <mergeCell ref="J30:K30"/>
    <mergeCell ref="L30:M30"/>
    <mergeCell ref="A7:A8"/>
    <mergeCell ref="D7:E7"/>
    <mergeCell ref="F7:G7"/>
    <mergeCell ref="H7:I7"/>
    <mergeCell ref="J7:K7"/>
    <mergeCell ref="B7:C7"/>
    <mergeCell ref="B30:C30"/>
    <mergeCell ref="A1:M1"/>
    <mergeCell ref="A2:M2"/>
    <mergeCell ref="A3:M3"/>
    <mergeCell ref="A4:M4"/>
    <mergeCell ref="A5:M5"/>
  </mergeCells>
  <printOptions horizontalCentered="1"/>
  <pageMargins left="0.5118110236220472" right="0.5118110236220472" top="0.7874015748031497" bottom="0.7874015748031497" header="0.31496062992125984" footer="0.31496062992125984"/>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E31"/>
  <sheetViews>
    <sheetView zoomScalePageLayoutView="0" workbookViewId="0" topLeftCell="A1">
      <selection activeCell="I10" sqref="I10"/>
    </sheetView>
  </sheetViews>
  <sheetFormatPr defaultColWidth="9.140625" defaultRowHeight="12.75"/>
  <cols>
    <col min="1" max="1" width="2.7109375" style="0" customWidth="1"/>
    <col min="2" max="2" width="10.7109375" style="0" customWidth="1"/>
    <col min="3" max="3" width="104.421875" style="0" customWidth="1"/>
    <col min="4" max="4" width="10.7109375" style="0" customWidth="1"/>
    <col min="5" max="5" width="2.7109375" style="0" customWidth="1"/>
  </cols>
  <sheetData>
    <row r="1" spans="1:5" ht="15" customHeight="1">
      <c r="A1" s="441"/>
      <c r="B1" s="1191"/>
      <c r="C1" s="1191"/>
      <c r="D1" s="1191"/>
      <c r="E1" s="279"/>
    </row>
    <row r="2" spans="1:5" ht="16.5" customHeight="1">
      <c r="A2" s="442"/>
      <c r="B2" s="434"/>
      <c r="C2" s="440"/>
      <c r="D2" s="130"/>
      <c r="E2" s="279"/>
    </row>
    <row r="3" spans="1:5" ht="16.5" customHeight="1">
      <c r="A3" s="442"/>
      <c r="B3" s="434"/>
      <c r="C3" s="440" t="s">
        <v>315</v>
      </c>
      <c r="D3" s="130"/>
      <c r="E3" s="279"/>
    </row>
    <row r="4" spans="1:5" ht="8.25" customHeight="1">
      <c r="A4" s="442"/>
      <c r="B4" s="434"/>
      <c r="C4" s="440"/>
      <c r="D4" s="130"/>
      <c r="E4" s="279"/>
    </row>
    <row r="5" spans="1:5" ht="15" customHeight="1">
      <c r="A5" s="442"/>
      <c r="B5" s="435"/>
      <c r="C5" s="1188" t="s">
        <v>434</v>
      </c>
      <c r="D5" s="130"/>
      <c r="E5" s="279"/>
    </row>
    <row r="6" spans="1:5" ht="15" customHeight="1">
      <c r="A6" s="442"/>
      <c r="B6" s="172"/>
      <c r="C6" s="1225" t="s">
        <v>568</v>
      </c>
      <c r="D6" s="130"/>
      <c r="E6" s="279"/>
    </row>
    <row r="7" spans="1:5" ht="15" customHeight="1">
      <c r="A7" s="442"/>
      <c r="B7" s="138"/>
      <c r="C7" s="1193" t="s">
        <v>567</v>
      </c>
      <c r="D7" s="130"/>
      <c r="E7" s="279"/>
    </row>
    <row r="8" spans="1:5" ht="15" customHeight="1">
      <c r="A8" s="442"/>
      <c r="B8" s="436"/>
      <c r="C8" s="1193" t="s">
        <v>431</v>
      </c>
      <c r="D8" s="130"/>
      <c r="E8" s="279"/>
    </row>
    <row r="9" spans="1:5" ht="15" customHeight="1">
      <c r="A9" s="442"/>
      <c r="B9" s="436"/>
      <c r="C9" s="1193" t="s">
        <v>433</v>
      </c>
      <c r="D9" s="130"/>
      <c r="E9" s="279"/>
    </row>
    <row r="10" spans="1:5" ht="15" customHeight="1">
      <c r="A10" s="442"/>
      <c r="B10" s="436"/>
      <c r="C10" s="1193" t="s">
        <v>432</v>
      </c>
      <c r="D10" s="130"/>
      <c r="E10" s="279"/>
    </row>
    <row r="11" spans="1:5" ht="15" customHeight="1">
      <c r="A11" s="442"/>
      <c r="B11" s="436"/>
      <c r="C11" s="1193" t="s">
        <v>569</v>
      </c>
      <c r="D11" s="130"/>
      <c r="E11" s="279"/>
    </row>
    <row r="12" spans="1:5" ht="15" customHeight="1">
      <c r="A12" s="442"/>
      <c r="B12" s="436"/>
      <c r="C12" s="1193" t="s">
        <v>532</v>
      </c>
      <c r="D12" s="130"/>
      <c r="E12" s="279"/>
    </row>
    <row r="13" spans="1:5" ht="15" customHeight="1">
      <c r="A13" s="442"/>
      <c r="B13" s="436"/>
      <c r="C13" s="1194" t="s">
        <v>533</v>
      </c>
      <c r="D13" s="130"/>
      <c r="E13" s="279"/>
    </row>
    <row r="14" spans="1:5" ht="15" customHeight="1">
      <c r="A14" s="442"/>
      <c r="B14" s="437"/>
      <c r="C14" s="1194" t="s">
        <v>566</v>
      </c>
      <c r="D14" s="130"/>
      <c r="E14" s="279"/>
    </row>
    <row r="15" spans="1:5" ht="15" customHeight="1">
      <c r="A15" s="442"/>
      <c r="B15" s="437"/>
      <c r="C15" s="1194" t="s">
        <v>571</v>
      </c>
      <c r="D15" s="130"/>
      <c r="E15" s="279"/>
    </row>
    <row r="16" spans="1:5" ht="15" customHeight="1">
      <c r="A16" s="442"/>
      <c r="B16" s="436"/>
      <c r="C16" s="1194" t="s">
        <v>570</v>
      </c>
      <c r="D16" s="130"/>
      <c r="E16" s="279"/>
    </row>
    <row r="17" spans="1:5" ht="15" customHeight="1">
      <c r="A17" s="442"/>
      <c r="B17" s="436"/>
      <c r="C17" s="1194" t="s">
        <v>536</v>
      </c>
      <c r="D17" s="130"/>
      <c r="E17" s="279"/>
    </row>
    <row r="18" spans="1:5" ht="15" customHeight="1">
      <c r="A18" s="442"/>
      <c r="B18" s="436"/>
      <c r="C18" s="1193" t="s">
        <v>537</v>
      </c>
      <c r="D18" s="130"/>
      <c r="E18" s="279"/>
    </row>
    <row r="19" spans="1:5" ht="15" customHeight="1">
      <c r="A19" s="442"/>
      <c r="B19" s="436"/>
      <c r="C19" s="1193" t="s">
        <v>538</v>
      </c>
      <c r="D19" s="130"/>
      <c r="E19" s="279"/>
    </row>
    <row r="20" spans="1:5" ht="15" customHeight="1">
      <c r="A20" s="442"/>
      <c r="B20" s="436"/>
      <c r="C20" s="1193" t="s">
        <v>539</v>
      </c>
      <c r="D20" s="130"/>
      <c r="E20" s="279"/>
    </row>
    <row r="21" spans="1:5" ht="15" customHeight="1">
      <c r="A21" s="442"/>
      <c r="B21" s="436"/>
      <c r="C21" s="1193" t="s">
        <v>540</v>
      </c>
      <c r="D21" s="130"/>
      <c r="E21" s="279"/>
    </row>
    <row r="22" spans="1:5" ht="15" customHeight="1">
      <c r="A22" s="442"/>
      <c r="B22" s="436"/>
      <c r="C22" s="1193" t="s">
        <v>541</v>
      </c>
      <c r="D22" s="130"/>
      <c r="E22" s="279"/>
    </row>
    <row r="23" spans="1:5" ht="15" customHeight="1">
      <c r="A23" s="442"/>
      <c r="B23" s="436"/>
      <c r="C23" s="1193" t="s">
        <v>542</v>
      </c>
      <c r="D23" s="130"/>
      <c r="E23" s="279"/>
    </row>
    <row r="24" spans="1:5" ht="15" customHeight="1">
      <c r="A24" s="442"/>
      <c r="B24" s="436"/>
      <c r="C24" s="1193" t="s">
        <v>543</v>
      </c>
      <c r="D24" s="130"/>
      <c r="E24" s="279"/>
    </row>
    <row r="25" spans="1:5" ht="15" customHeight="1">
      <c r="A25" s="442"/>
      <c r="B25" s="436"/>
      <c r="C25" s="1193" t="s">
        <v>544</v>
      </c>
      <c r="D25" s="130"/>
      <c r="E25" s="279"/>
    </row>
    <row r="26" spans="1:5" ht="15" customHeight="1">
      <c r="A26" s="442"/>
      <c r="B26" s="438"/>
      <c r="C26" s="1193" t="s">
        <v>548</v>
      </c>
      <c r="D26" s="130"/>
      <c r="E26" s="279"/>
    </row>
    <row r="27" spans="1:5" ht="15" customHeight="1">
      <c r="A27" s="442"/>
      <c r="B27" s="439"/>
      <c r="C27" s="1193" t="s">
        <v>545</v>
      </c>
      <c r="D27" s="130"/>
      <c r="E27" s="279"/>
    </row>
    <row r="28" spans="1:5" ht="15" customHeight="1">
      <c r="A28" s="442"/>
      <c r="B28" s="439"/>
      <c r="C28" s="1193" t="s">
        <v>546</v>
      </c>
      <c r="D28" s="130"/>
      <c r="E28" s="279"/>
    </row>
    <row r="29" spans="1:5" ht="15" customHeight="1">
      <c r="A29" s="442"/>
      <c r="B29" s="439"/>
      <c r="C29" s="1193" t="s">
        <v>547</v>
      </c>
      <c r="D29" s="130"/>
      <c r="E29" s="279"/>
    </row>
    <row r="30" spans="1:5" ht="15" customHeight="1">
      <c r="A30" s="1192"/>
      <c r="B30" s="111"/>
      <c r="C30" s="1195"/>
      <c r="D30" s="131"/>
      <c r="E30" s="279"/>
    </row>
    <row r="31" spans="1:5" ht="12.75">
      <c r="A31" s="279"/>
      <c r="B31" s="279"/>
      <c r="C31" s="279"/>
      <c r="D31" s="279"/>
      <c r="E31" s="279"/>
    </row>
  </sheetData>
  <sheetProtection/>
  <printOptions horizontalCentered="1" verticalCentered="1"/>
  <pageMargins left="0.5118110236220472" right="0.5118110236220472" top="0.7874015748031497" bottom="0.7874015748031497" header="0.31496062992125984" footer="0.31496062992125984"/>
  <pageSetup horizontalDpi="600" verticalDpi="600" orientation="landscape" paperSize="9" r:id="rId2"/>
  <drawing r:id="rId1"/>
</worksheet>
</file>

<file path=xl/worksheets/sheet30.xml><?xml version="1.0" encoding="utf-8"?>
<worksheet xmlns="http://schemas.openxmlformats.org/spreadsheetml/2006/main" xmlns:r="http://schemas.openxmlformats.org/officeDocument/2006/relationships">
  <dimension ref="A1:Q9"/>
  <sheetViews>
    <sheetView zoomScalePageLayoutView="0" workbookViewId="0" topLeftCell="A1">
      <selection activeCell="N25" sqref="N25"/>
    </sheetView>
  </sheetViews>
  <sheetFormatPr defaultColWidth="9.140625" defaultRowHeight="12.75"/>
  <sheetData>
    <row r="1" spans="1:4" ht="18">
      <c r="A1" s="498" t="s">
        <v>344</v>
      </c>
      <c r="B1" s="498"/>
      <c r="C1" s="498"/>
      <c r="D1" s="498"/>
    </row>
    <row r="4" spans="1:17" ht="13.5" thickBot="1">
      <c r="A4" s="443"/>
      <c r="P4" s="443"/>
      <c r="Q4" s="443"/>
    </row>
    <row r="5" spans="1:17" ht="13.5" thickBot="1">
      <c r="A5" s="444" t="s">
        <v>330</v>
      </c>
      <c r="B5" s="445">
        <v>2001</v>
      </c>
      <c r="C5" s="445">
        <v>2002</v>
      </c>
      <c r="D5" s="445">
        <v>2003</v>
      </c>
      <c r="E5" s="445">
        <v>2004</v>
      </c>
      <c r="F5" s="445">
        <v>2005</v>
      </c>
      <c r="G5" s="445">
        <v>2006</v>
      </c>
      <c r="H5" s="445">
        <v>2007</v>
      </c>
      <c r="I5" s="445">
        <v>2008</v>
      </c>
      <c r="J5" s="445">
        <v>2009</v>
      </c>
      <c r="K5" s="445">
        <v>2010</v>
      </c>
      <c r="L5" s="445">
        <v>2011</v>
      </c>
      <c r="M5" s="445">
        <v>2012</v>
      </c>
      <c r="N5" s="446">
        <v>2013</v>
      </c>
      <c r="O5" s="447">
        <v>2014</v>
      </c>
      <c r="P5" s="448">
        <v>2015</v>
      </c>
      <c r="Q5" s="448">
        <v>2016</v>
      </c>
    </row>
    <row r="6" spans="1:17" ht="13.5" thickBot="1">
      <c r="A6" s="449" t="s">
        <v>331</v>
      </c>
      <c r="B6" s="450">
        <v>22.5</v>
      </c>
      <c r="C6" s="450">
        <v>37.9</v>
      </c>
      <c r="D6" s="450">
        <v>20.1</v>
      </c>
      <c r="E6" s="450">
        <v>31.7</v>
      </c>
      <c r="F6" s="450">
        <v>23.8</v>
      </c>
      <c r="G6" s="451">
        <v>33</v>
      </c>
      <c r="H6" s="452">
        <v>25.1</v>
      </c>
      <c r="I6" s="453">
        <v>35.5</v>
      </c>
      <c r="J6" s="453">
        <v>28.8</v>
      </c>
      <c r="K6" s="453">
        <v>36.8</v>
      </c>
      <c r="L6" s="453">
        <v>32.2</v>
      </c>
      <c r="M6" s="453">
        <v>38.3</v>
      </c>
      <c r="N6" s="454">
        <v>38.3</v>
      </c>
      <c r="O6" s="454">
        <v>32.6</v>
      </c>
      <c r="P6" s="454">
        <v>32</v>
      </c>
      <c r="Q6" s="454">
        <v>40.27</v>
      </c>
    </row>
    <row r="7" spans="1:17" ht="13.5" thickBot="1">
      <c r="A7" s="449" t="s">
        <v>332</v>
      </c>
      <c r="B7" s="450">
        <v>8.8</v>
      </c>
      <c r="C7" s="450">
        <v>10.5</v>
      </c>
      <c r="D7" s="450">
        <v>8.7</v>
      </c>
      <c r="E7" s="450">
        <v>7.5</v>
      </c>
      <c r="F7" s="450">
        <v>9.1</v>
      </c>
      <c r="G7" s="451">
        <v>9.5</v>
      </c>
      <c r="H7" s="452">
        <v>10.9</v>
      </c>
      <c r="I7" s="453">
        <v>10.5</v>
      </c>
      <c r="J7" s="453">
        <v>10.6</v>
      </c>
      <c r="K7" s="453">
        <v>11.2</v>
      </c>
      <c r="L7" s="453">
        <v>11.3</v>
      </c>
      <c r="M7" s="453">
        <v>12.5</v>
      </c>
      <c r="N7" s="454">
        <v>10.9</v>
      </c>
      <c r="O7" s="454">
        <v>13</v>
      </c>
      <c r="P7" s="454">
        <v>11.2</v>
      </c>
      <c r="Q7" s="454">
        <v>9.399</v>
      </c>
    </row>
    <row r="8" spans="1:17" ht="13.5" thickBot="1">
      <c r="A8" s="455" t="s">
        <v>115</v>
      </c>
      <c r="B8" s="456">
        <f aca="true" t="shared" si="0" ref="B8:P8">SUM(B6:B7)</f>
        <v>31.3</v>
      </c>
      <c r="C8" s="456">
        <f t="shared" si="0"/>
        <v>48.4</v>
      </c>
      <c r="D8" s="456">
        <f t="shared" si="0"/>
        <v>28.8</v>
      </c>
      <c r="E8" s="456">
        <f t="shared" si="0"/>
        <v>39.2</v>
      </c>
      <c r="F8" s="456">
        <f t="shared" si="0"/>
        <v>32.9</v>
      </c>
      <c r="G8" s="456">
        <f t="shared" si="0"/>
        <v>42.5</v>
      </c>
      <c r="H8" s="456">
        <f t="shared" si="0"/>
        <v>36</v>
      </c>
      <c r="I8" s="457">
        <f t="shared" si="0"/>
        <v>46</v>
      </c>
      <c r="J8" s="457">
        <f t="shared" si="0"/>
        <v>39.4</v>
      </c>
      <c r="K8" s="457">
        <f t="shared" si="0"/>
        <v>48</v>
      </c>
      <c r="L8" s="457">
        <f t="shared" si="0"/>
        <v>43.5</v>
      </c>
      <c r="M8" s="457">
        <f t="shared" si="0"/>
        <v>50.8</v>
      </c>
      <c r="N8" s="457">
        <f t="shared" si="0"/>
        <v>49.199999999999996</v>
      </c>
      <c r="O8" s="457">
        <f t="shared" si="0"/>
        <v>45.6</v>
      </c>
      <c r="P8" s="765">
        <f t="shared" si="0"/>
        <v>43.2</v>
      </c>
      <c r="Q8" s="765">
        <f>SUM(Q6:Q7)</f>
        <v>49.669000000000004</v>
      </c>
    </row>
    <row r="9" spans="2:17" ht="12.75">
      <c r="B9">
        <v>31300</v>
      </c>
      <c r="C9">
        <v>48480</v>
      </c>
      <c r="D9">
        <v>28820</v>
      </c>
      <c r="E9">
        <v>39272</v>
      </c>
      <c r="F9">
        <v>32944</v>
      </c>
      <c r="G9">
        <v>42512</v>
      </c>
      <c r="H9">
        <v>36069.6</v>
      </c>
      <c r="I9">
        <v>45992.1</v>
      </c>
      <c r="J9">
        <v>39469.9</v>
      </c>
      <c r="K9">
        <v>48094.8</v>
      </c>
      <c r="L9">
        <v>43484.2</v>
      </c>
      <c r="M9">
        <v>50826.4</v>
      </c>
      <c r="N9">
        <v>49151.6</v>
      </c>
      <c r="O9">
        <v>45639</v>
      </c>
      <c r="P9">
        <v>43235</v>
      </c>
      <c r="Q9">
        <v>49669</v>
      </c>
    </row>
  </sheetData>
  <sheetProtection/>
  <printOptions/>
  <pageMargins left="0.511811024" right="0.511811024" top="0.787401575" bottom="0.787401575" header="0.31496062" footer="0.3149606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3:L23"/>
  <sheetViews>
    <sheetView zoomScalePageLayoutView="0" workbookViewId="0" topLeftCell="A1">
      <selection activeCell="J27" sqref="J27"/>
    </sheetView>
  </sheetViews>
  <sheetFormatPr defaultColWidth="9.140625" defaultRowHeight="12.75"/>
  <cols>
    <col min="1" max="1" width="10.140625" style="0" customWidth="1"/>
    <col min="2" max="2" width="10.28125" style="0" bestFit="1" customWidth="1"/>
    <col min="3" max="3" width="8.57421875" style="0" customWidth="1"/>
    <col min="4" max="4" width="10.00390625" style="0" customWidth="1"/>
    <col min="5" max="5" width="7.7109375" style="0" bestFit="1" customWidth="1"/>
    <col min="6" max="6" width="8.8515625" style="0" bestFit="1" customWidth="1"/>
    <col min="7" max="7" width="10.421875" style="0" bestFit="1" customWidth="1"/>
    <col min="8" max="8" width="7.8515625" style="0" bestFit="1" customWidth="1"/>
    <col min="9" max="9" width="8.7109375" style="0" bestFit="1" customWidth="1"/>
    <col min="10" max="10" width="6.421875" style="0" bestFit="1" customWidth="1"/>
    <col min="11" max="11" width="8.7109375" style="0" bestFit="1" customWidth="1"/>
    <col min="12" max="12" width="9.28125" style="0" bestFit="1" customWidth="1"/>
  </cols>
  <sheetData>
    <row r="3" spans="1:10" ht="12.75">
      <c r="A3" s="1478" t="s">
        <v>598</v>
      </c>
      <c r="B3" s="1478"/>
      <c r="C3" s="1478"/>
      <c r="D3" s="1478"/>
      <c r="E3" s="1478"/>
      <c r="F3" s="1478"/>
      <c r="G3" s="1478"/>
      <c r="H3" s="1478"/>
      <c r="I3" s="1478"/>
      <c r="J3" s="1478"/>
    </row>
    <row r="4" ht="12.75">
      <c r="H4" s="1168"/>
    </row>
    <row r="5" spans="1:10" ht="25.5">
      <c r="A5" s="1240" t="s">
        <v>224</v>
      </c>
      <c r="B5" s="1240" t="s">
        <v>580</v>
      </c>
      <c r="C5" s="1240" t="s">
        <v>16</v>
      </c>
      <c r="D5" s="1240" t="s">
        <v>581</v>
      </c>
      <c r="E5" s="1240" t="s">
        <v>582</v>
      </c>
      <c r="F5" s="1240" t="s">
        <v>17</v>
      </c>
      <c r="G5" s="1240" t="s">
        <v>18</v>
      </c>
      <c r="H5" s="1240" t="s">
        <v>583</v>
      </c>
      <c r="I5" s="1240" t="s">
        <v>584</v>
      </c>
      <c r="J5" s="1243" t="s">
        <v>585</v>
      </c>
    </row>
    <row r="6" spans="1:10" ht="12.75">
      <c r="A6" s="1238" t="s">
        <v>237</v>
      </c>
      <c r="B6" s="1245">
        <v>13250</v>
      </c>
      <c r="C6" s="1239">
        <v>39272</v>
      </c>
      <c r="D6" s="1168">
        <v>3.78</v>
      </c>
      <c r="E6" s="558">
        <f>B6+C6+D6</f>
        <v>52525.78</v>
      </c>
      <c r="F6" s="1168">
        <v>14940</v>
      </c>
      <c r="G6" s="1168">
        <v>27047.2838333333</v>
      </c>
      <c r="H6" s="558">
        <f>E6-(F6+G6)</f>
        <v>10538.4961666667</v>
      </c>
      <c r="I6" s="1168">
        <f>H6-B7</f>
        <v>-4878.5038333333</v>
      </c>
      <c r="J6" s="1244">
        <f>((I6/E6)*100)*-1</f>
        <v>9.287827488393889</v>
      </c>
    </row>
    <row r="7" spans="1:10" ht="12.75">
      <c r="A7" s="1238" t="s">
        <v>239</v>
      </c>
      <c r="B7" s="1245">
        <v>15417</v>
      </c>
      <c r="C7" s="1168">
        <v>32944</v>
      </c>
      <c r="D7" s="1168">
        <v>4.195</v>
      </c>
      <c r="E7" s="558">
        <f aca="true" t="shared" si="0" ref="E7:E18">B7+C7+D7</f>
        <v>48365.195</v>
      </c>
      <c r="F7" s="1168">
        <v>15538</v>
      </c>
      <c r="G7" s="1168">
        <v>26431.423</v>
      </c>
      <c r="H7" s="558">
        <f aca="true" t="shared" si="1" ref="H7:H18">E7-(F7+G7)</f>
        <v>6395.7720000000045</v>
      </c>
      <c r="I7" s="1168">
        <f aca="true" t="shared" si="2" ref="I7:I17">H7-B8</f>
        <v>-5459.2279999999955</v>
      </c>
      <c r="J7" s="1244">
        <f aca="true" t="shared" si="3" ref="J7:J17">((I7/E7)*100)*-1</f>
        <v>11.287513675898538</v>
      </c>
    </row>
    <row r="8" spans="1:10" ht="12.75">
      <c r="A8" s="1238" t="s">
        <v>240</v>
      </c>
      <c r="B8" s="1245">
        <v>11855</v>
      </c>
      <c r="C8" s="1168">
        <v>42512</v>
      </c>
      <c r="D8" s="1168">
        <v>5.363</v>
      </c>
      <c r="E8" s="558">
        <f t="shared" si="0"/>
        <v>54372.363</v>
      </c>
      <c r="F8" s="1168">
        <v>16331</v>
      </c>
      <c r="G8" s="1168">
        <v>27977.6623333333</v>
      </c>
      <c r="H8" s="558">
        <f t="shared" si="1"/>
        <v>10063.7006666667</v>
      </c>
      <c r="I8" s="1168">
        <f t="shared" si="2"/>
        <v>-8406.2993333333</v>
      </c>
      <c r="J8" s="1244">
        <f t="shared" si="3"/>
        <v>15.460610629214882</v>
      </c>
    </row>
    <row r="9" spans="1:10" ht="12.75">
      <c r="A9" s="1238" t="s">
        <v>242</v>
      </c>
      <c r="B9" s="1245">
        <v>18470</v>
      </c>
      <c r="C9" s="1168">
        <v>36069.6</v>
      </c>
      <c r="D9" s="1168">
        <v>7.554</v>
      </c>
      <c r="E9" s="558">
        <f t="shared" si="0"/>
        <v>54547.153999999995</v>
      </c>
      <c r="F9" s="1168">
        <v>17120</v>
      </c>
      <c r="G9" s="1168">
        <v>28398.201</v>
      </c>
      <c r="H9" s="558">
        <f t="shared" si="1"/>
        <v>9028.952999999994</v>
      </c>
      <c r="I9" s="1168">
        <f t="shared" si="2"/>
        <v>-4173.047000000006</v>
      </c>
      <c r="J9" s="1244">
        <f t="shared" si="3"/>
        <v>7.650347807330162</v>
      </c>
    </row>
    <row r="10" spans="1:10" ht="12.75">
      <c r="A10" s="1238" t="s">
        <v>243</v>
      </c>
      <c r="B10" s="1245">
        <v>13202</v>
      </c>
      <c r="C10" s="1168">
        <v>45992.1</v>
      </c>
      <c r="D10" s="1168">
        <v>19.67</v>
      </c>
      <c r="E10" s="558">
        <f t="shared" si="0"/>
        <v>59213.77</v>
      </c>
      <c r="F10" s="1168">
        <v>17660</v>
      </c>
      <c r="G10" s="1168">
        <v>29727.6933333333</v>
      </c>
      <c r="H10" s="558">
        <f t="shared" si="1"/>
        <v>11826.076666666697</v>
      </c>
      <c r="I10" s="1168">
        <f t="shared" si="2"/>
        <v>-3939.923333333303</v>
      </c>
      <c r="J10" s="1244">
        <f t="shared" si="3"/>
        <v>6.65372823472193</v>
      </c>
    </row>
    <row r="11" spans="1:10" ht="12.75">
      <c r="A11" s="1238" t="s">
        <v>586</v>
      </c>
      <c r="B11" s="1245">
        <v>15766</v>
      </c>
      <c r="C11" s="1168">
        <v>39469.9</v>
      </c>
      <c r="D11" s="1168">
        <v>23.004</v>
      </c>
      <c r="E11" s="558">
        <f t="shared" si="0"/>
        <v>55258.904</v>
      </c>
      <c r="F11" s="1168">
        <v>18389</v>
      </c>
      <c r="G11" s="1168">
        <v>30481.32265</v>
      </c>
      <c r="H11" s="558">
        <f t="shared" si="1"/>
        <v>6388.58135</v>
      </c>
      <c r="I11" s="1168">
        <f t="shared" si="2"/>
        <v>-4709.41865</v>
      </c>
      <c r="J11" s="1244">
        <f t="shared" si="3"/>
        <v>8.522461194670091</v>
      </c>
    </row>
    <row r="12" spans="1:10" ht="12.75">
      <c r="A12" s="1238" t="s">
        <v>587</v>
      </c>
      <c r="B12" s="1245">
        <v>11098</v>
      </c>
      <c r="C12" s="1168">
        <v>48094.8</v>
      </c>
      <c r="D12" s="1168">
        <v>32.416</v>
      </c>
      <c r="E12" s="558">
        <f t="shared" si="0"/>
        <v>59225.216</v>
      </c>
      <c r="F12" s="1168">
        <v>19130</v>
      </c>
      <c r="G12" s="1168">
        <v>33493.7023333333</v>
      </c>
      <c r="H12" s="558">
        <f t="shared" si="1"/>
        <v>6601.513666666702</v>
      </c>
      <c r="I12" s="1168">
        <f t="shared" si="2"/>
        <v>-4738.486333333298</v>
      </c>
      <c r="J12" s="1244">
        <f t="shared" si="3"/>
        <v>8.000791982478034</v>
      </c>
    </row>
    <row r="13" spans="1:10" ht="12.75">
      <c r="A13" s="1238" t="s">
        <v>599</v>
      </c>
      <c r="B13" s="1245">
        <v>11340</v>
      </c>
      <c r="C13" s="1168">
        <v>43484.2</v>
      </c>
      <c r="D13" s="1168">
        <v>43.456</v>
      </c>
      <c r="E13" s="558">
        <f t="shared" si="0"/>
        <v>54867.655999999995</v>
      </c>
      <c r="F13" s="1168">
        <v>19720</v>
      </c>
      <c r="G13" s="1168">
        <v>33609.867</v>
      </c>
      <c r="H13" s="558">
        <f t="shared" si="1"/>
        <v>1537.788999999997</v>
      </c>
      <c r="I13" s="1168">
        <f t="shared" si="2"/>
        <v>-8524.211000000003</v>
      </c>
      <c r="J13" s="1244">
        <f t="shared" si="3"/>
        <v>15.535948902209352</v>
      </c>
    </row>
    <row r="14" spans="1:10" ht="12.75">
      <c r="A14" s="1238" t="s">
        <v>588</v>
      </c>
      <c r="B14" s="1245">
        <v>10062</v>
      </c>
      <c r="C14" s="1168">
        <v>50826.4</v>
      </c>
      <c r="D14" s="1168">
        <v>62.632</v>
      </c>
      <c r="E14" s="558">
        <f t="shared" si="0"/>
        <v>60951.032</v>
      </c>
      <c r="F14" s="1168">
        <v>20330</v>
      </c>
      <c r="G14" s="1168">
        <v>28735.1845833333</v>
      </c>
      <c r="H14" s="558">
        <f t="shared" si="1"/>
        <v>11885.8474166667</v>
      </c>
      <c r="I14" s="1168">
        <f t="shared" si="2"/>
        <v>-3705.1525833333</v>
      </c>
      <c r="J14" s="1244">
        <f t="shared" si="3"/>
        <v>6.07890049069768</v>
      </c>
    </row>
    <row r="15" spans="1:10" ht="12.75">
      <c r="A15" s="1238" t="s">
        <v>589</v>
      </c>
      <c r="B15" s="1245">
        <v>15591</v>
      </c>
      <c r="C15" s="1168">
        <v>49151.6</v>
      </c>
      <c r="D15" s="1168">
        <v>62.624</v>
      </c>
      <c r="E15" s="558">
        <f t="shared" si="0"/>
        <v>64805.224</v>
      </c>
      <c r="F15" s="1168">
        <v>20080</v>
      </c>
      <c r="G15" s="1168">
        <v>32010.3301666667</v>
      </c>
      <c r="H15" s="558">
        <f t="shared" si="1"/>
        <v>12714.893833333306</v>
      </c>
      <c r="I15" s="1168">
        <f t="shared" si="2"/>
        <v>-4156.106166666694</v>
      </c>
      <c r="J15" s="1244">
        <f t="shared" si="3"/>
        <v>6.413227067414648</v>
      </c>
    </row>
    <row r="16" spans="1:10" ht="12.75">
      <c r="A16" s="1238" t="s">
        <v>590</v>
      </c>
      <c r="B16" s="1245">
        <v>16871</v>
      </c>
      <c r="C16" s="1239">
        <v>45346</v>
      </c>
      <c r="D16" s="1168">
        <v>92.561</v>
      </c>
      <c r="E16" s="558">
        <f t="shared" si="0"/>
        <v>62309.561</v>
      </c>
      <c r="F16" s="1168">
        <v>20300</v>
      </c>
      <c r="G16" s="1168">
        <v>36735.2211416667</v>
      </c>
      <c r="H16" s="558">
        <f t="shared" si="1"/>
        <v>5274.339858333304</v>
      </c>
      <c r="I16" s="1168">
        <f t="shared" si="2"/>
        <v>-10641.660141666696</v>
      </c>
      <c r="J16" s="1244">
        <f t="shared" si="3"/>
        <v>17.078695421504726</v>
      </c>
    </row>
    <row r="17" spans="1:10" ht="12.75">
      <c r="A17" s="1247" t="s">
        <v>591</v>
      </c>
      <c r="B17" s="1245">
        <v>15916</v>
      </c>
      <c r="C17" s="1239">
        <v>43235</v>
      </c>
      <c r="D17" s="1168">
        <v>149.055</v>
      </c>
      <c r="E17" s="558">
        <f t="shared" si="0"/>
        <v>59300.055</v>
      </c>
      <c r="F17" s="1168">
        <v>21000</v>
      </c>
      <c r="G17" s="1168">
        <v>37119.724</v>
      </c>
      <c r="H17" s="558">
        <f t="shared" si="1"/>
        <v>1180.3309999999983</v>
      </c>
      <c r="I17" s="1168">
        <f t="shared" si="2"/>
        <v>-13715.669000000002</v>
      </c>
      <c r="J17" s="1244">
        <f t="shared" si="3"/>
        <v>23.129268598486124</v>
      </c>
    </row>
    <row r="18" spans="1:12" ht="12.75">
      <c r="A18" s="1248" t="s">
        <v>592</v>
      </c>
      <c r="B18" s="1246">
        <v>14896</v>
      </c>
      <c r="C18" s="1241">
        <v>49669</v>
      </c>
      <c r="D18" s="1241">
        <v>160</v>
      </c>
      <c r="E18" s="1242">
        <f t="shared" si="0"/>
        <v>64725</v>
      </c>
      <c r="F18" s="1241">
        <v>21500</v>
      </c>
      <c r="G18" s="1241">
        <v>35000</v>
      </c>
      <c r="H18" s="1242">
        <f t="shared" si="1"/>
        <v>8225</v>
      </c>
      <c r="I18" s="1241">
        <v>0</v>
      </c>
      <c r="J18" s="1241">
        <v>0</v>
      </c>
      <c r="L18" s="1227"/>
    </row>
    <row r="19" spans="1:2" ht="12.75">
      <c r="A19" s="1249" t="s">
        <v>597</v>
      </c>
      <c r="B19" s="1250"/>
    </row>
    <row r="20" ht="12.75">
      <c r="A20" s="1249" t="s">
        <v>595</v>
      </c>
    </row>
    <row r="21" ht="12.75">
      <c r="A21" s="1249" t="s">
        <v>593</v>
      </c>
    </row>
    <row r="22" ht="12.75">
      <c r="A22" s="1249" t="s">
        <v>596</v>
      </c>
    </row>
    <row r="23" ht="12.75">
      <c r="A23" s="1249" t="s">
        <v>594</v>
      </c>
    </row>
  </sheetData>
  <sheetProtection/>
  <mergeCells count="1">
    <mergeCell ref="A3:J3"/>
  </mergeCells>
  <printOptions/>
  <pageMargins left="0.511811024" right="0.511811024" top="0.787401575" bottom="0.787401575" header="0.31496062" footer="0.3149606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511811024" right="0.511811024" top="0.787401575" bottom="0.787401575" header="0.31496062" footer="0.31496062"/>
  <pageSetup orientation="portrait" paperSize="9"/>
</worksheet>
</file>

<file path=xl/worksheets/sheet4.xml><?xml version="1.0" encoding="utf-8"?>
<worksheet xmlns="http://schemas.openxmlformats.org/spreadsheetml/2006/main" xmlns:r="http://schemas.openxmlformats.org/officeDocument/2006/relationships">
  <dimension ref="A1:C14"/>
  <sheetViews>
    <sheetView zoomScalePageLayoutView="0" workbookViewId="0" topLeftCell="A1">
      <selection activeCell="F11" sqref="F11"/>
    </sheetView>
  </sheetViews>
  <sheetFormatPr defaultColWidth="9.140625" defaultRowHeight="12.75"/>
  <cols>
    <col min="1" max="1" width="3.57421875" style="1315" customWidth="1"/>
    <col min="2" max="2" width="124.140625" style="0" customWidth="1"/>
    <col min="3" max="3" width="3.57421875" style="0" customWidth="1"/>
  </cols>
  <sheetData>
    <row r="1" spans="1:3" ht="15" customHeight="1">
      <c r="A1" s="279"/>
      <c r="B1" s="279"/>
      <c r="C1" s="279"/>
    </row>
    <row r="2" spans="1:3" ht="18.75" customHeight="1">
      <c r="A2" s="279"/>
      <c r="B2" s="1309" t="s">
        <v>616</v>
      </c>
      <c r="C2" s="279"/>
    </row>
    <row r="3" spans="1:3" ht="6" customHeight="1">
      <c r="A3" s="279"/>
      <c r="B3" s="1310"/>
      <c r="C3" s="279"/>
    </row>
    <row r="4" spans="1:3" ht="118.5" customHeight="1">
      <c r="A4" s="279"/>
      <c r="B4" s="1311" t="s">
        <v>617</v>
      </c>
      <c r="C4" s="279"/>
    </row>
    <row r="5" spans="1:3" ht="9" customHeight="1">
      <c r="A5" s="279"/>
      <c r="B5" s="1312"/>
      <c r="C5" s="442"/>
    </row>
    <row r="6" spans="1:3" ht="27" customHeight="1">
      <c r="A6" s="279"/>
      <c r="B6" s="1311" t="s">
        <v>601</v>
      </c>
      <c r="C6" s="279"/>
    </row>
    <row r="7" spans="1:3" ht="9" customHeight="1">
      <c r="A7" s="279"/>
      <c r="B7" s="1313"/>
      <c r="C7" s="279"/>
    </row>
    <row r="8" spans="1:3" ht="88.5" customHeight="1">
      <c r="A8" s="279"/>
      <c r="B8" s="1311" t="s">
        <v>618</v>
      </c>
      <c r="C8" s="279"/>
    </row>
    <row r="9" spans="1:3" ht="9" customHeight="1">
      <c r="A9" s="279"/>
      <c r="B9" s="1313"/>
      <c r="C9" s="279"/>
    </row>
    <row r="10" spans="1:3" ht="60" customHeight="1">
      <c r="A10" s="279"/>
      <c r="B10" s="1313" t="s">
        <v>619</v>
      </c>
      <c r="C10" s="279"/>
    </row>
    <row r="11" spans="1:3" ht="9" customHeight="1">
      <c r="A11" s="279"/>
      <c r="B11" s="1313"/>
      <c r="C11" s="279"/>
    </row>
    <row r="12" spans="1:3" ht="59.25" customHeight="1">
      <c r="A12" s="279"/>
      <c r="B12" s="1311" t="s">
        <v>615</v>
      </c>
      <c r="C12" s="279"/>
    </row>
    <row r="13" spans="1:3" ht="9" customHeight="1">
      <c r="A13" s="279"/>
      <c r="B13" s="1314"/>
      <c r="C13" s="279"/>
    </row>
    <row r="14" spans="1:3" ht="15" customHeight="1">
      <c r="A14" s="279"/>
      <c r="B14" s="279"/>
      <c r="C14" s="279"/>
    </row>
  </sheetData>
  <sheetProtection/>
  <printOptions/>
  <pageMargins left="0.511811024" right="0.511811024" top="0.787401575" bottom="0.787401575" header="0.31496062" footer="0.3149606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V28"/>
  <sheetViews>
    <sheetView zoomScalePageLayoutView="0" workbookViewId="0" topLeftCell="A1">
      <selection activeCell="W20" sqref="W20"/>
    </sheetView>
  </sheetViews>
  <sheetFormatPr defaultColWidth="9.140625" defaultRowHeight="12.75"/>
  <cols>
    <col min="1" max="1" width="2.7109375" style="0" customWidth="1"/>
    <col min="2" max="2" width="2.28125" style="0" customWidth="1"/>
    <col min="3" max="3" width="12.57421875" style="0" customWidth="1"/>
    <col min="4" max="4" width="8.8515625" style="0" bestFit="1" customWidth="1"/>
    <col min="5" max="5" width="6.7109375" style="0" customWidth="1"/>
    <col min="6" max="6" width="7.421875" style="0" bestFit="1" customWidth="1"/>
    <col min="7" max="7" width="6.7109375" style="0" bestFit="1" customWidth="1"/>
    <col min="8" max="8" width="8.8515625" style="0" bestFit="1" customWidth="1"/>
    <col min="9" max="9" width="6.7109375" style="0" customWidth="1"/>
    <col min="10" max="10" width="1.7109375" style="0" customWidth="1"/>
    <col min="11" max="11" width="12.8515625" style="0" customWidth="1"/>
    <col min="12" max="12" width="7.7109375" style="0" bestFit="1" customWidth="1"/>
    <col min="13" max="13" width="7.28125" style="0" customWidth="1"/>
    <col min="14" max="14" width="7.57421875" style="0" bestFit="1" customWidth="1"/>
    <col min="15" max="15" width="1.7109375" style="0" customWidth="1"/>
    <col min="16" max="16" width="12.8515625" style="0" customWidth="1"/>
    <col min="17" max="17" width="8.8515625" style="0" customWidth="1"/>
    <col min="18" max="18" width="6.7109375" style="0" bestFit="1" customWidth="1"/>
    <col min="19" max="19" width="7.7109375" style="0" customWidth="1"/>
    <col min="20" max="20" width="2.28125" style="0" customWidth="1"/>
    <col min="21" max="21" width="2.7109375" style="0" customWidth="1"/>
    <col min="22" max="22" width="8.8515625" style="0" bestFit="1" customWidth="1"/>
  </cols>
  <sheetData>
    <row r="1" spans="1:21" ht="16.5" customHeight="1">
      <c r="A1" s="1317" t="s">
        <v>407</v>
      </c>
      <c r="B1" s="1317"/>
      <c r="C1" s="1317"/>
      <c r="D1" s="1317"/>
      <c r="E1" s="1317"/>
      <c r="F1" s="1317"/>
      <c r="G1" s="1317"/>
      <c r="H1" s="1317"/>
      <c r="I1" s="1317"/>
      <c r="J1" s="1317"/>
      <c r="K1" s="1317"/>
      <c r="L1" s="1317"/>
      <c r="M1" s="1317"/>
      <c r="N1" s="1317"/>
      <c r="O1" s="1317"/>
      <c r="P1" s="1317"/>
      <c r="Q1" s="1317"/>
      <c r="R1" s="1317"/>
      <c r="S1" s="1317"/>
      <c r="T1" s="1317"/>
      <c r="U1" s="1317"/>
    </row>
    <row r="2" spans="1:21" ht="13.5" customHeight="1">
      <c r="A2" s="58"/>
      <c r="B2" s="256"/>
      <c r="C2" s="257"/>
      <c r="D2" s="257"/>
      <c r="E2" s="257"/>
      <c r="F2" s="257"/>
      <c r="G2" s="257"/>
      <c r="H2" s="257"/>
      <c r="I2" s="257"/>
      <c r="J2" s="257"/>
      <c r="K2" s="257"/>
      <c r="L2" s="257"/>
      <c r="M2" s="257"/>
      <c r="N2" s="257"/>
      <c r="O2" s="257"/>
      <c r="P2" s="257"/>
      <c r="Q2" s="257"/>
      <c r="R2" s="257"/>
      <c r="S2" s="257"/>
      <c r="T2" s="258"/>
      <c r="U2" s="57"/>
    </row>
    <row r="3" spans="1:21" ht="13.5" customHeight="1">
      <c r="A3" s="58"/>
      <c r="B3" s="1196"/>
      <c r="C3" s="1197"/>
      <c r="D3" s="1197"/>
      <c r="E3" s="1197"/>
      <c r="F3" s="1197"/>
      <c r="G3" s="1197"/>
      <c r="H3" s="1197"/>
      <c r="I3" s="1197"/>
      <c r="J3" s="1197"/>
      <c r="K3" s="1197"/>
      <c r="L3" s="1197"/>
      <c r="M3" s="1197"/>
      <c r="N3" s="1197"/>
      <c r="O3" s="1197"/>
      <c r="P3" s="1197"/>
      <c r="Q3" s="1197"/>
      <c r="R3" s="1197"/>
      <c r="S3" s="1197"/>
      <c r="T3" s="1198"/>
      <c r="U3" s="57"/>
    </row>
    <row r="4" spans="1:21" ht="14.25" customHeight="1">
      <c r="A4" s="60"/>
      <c r="B4" s="1318" t="s">
        <v>404</v>
      </c>
      <c r="C4" s="1319"/>
      <c r="D4" s="1319"/>
      <c r="E4" s="1319"/>
      <c r="F4" s="1319"/>
      <c r="G4" s="1319"/>
      <c r="H4" s="1319"/>
      <c r="I4" s="1319"/>
      <c r="J4" s="1319"/>
      <c r="K4" s="1319"/>
      <c r="L4" s="1319"/>
      <c r="M4" s="1319"/>
      <c r="N4" s="1319"/>
      <c r="O4" s="1319"/>
      <c r="P4" s="1319"/>
      <c r="Q4" s="1319"/>
      <c r="R4" s="1319"/>
      <c r="S4" s="1319"/>
      <c r="T4" s="1320"/>
      <c r="U4" s="57"/>
    </row>
    <row r="5" spans="1:21" ht="13.5" customHeight="1">
      <c r="A5" s="60"/>
      <c r="B5" s="126"/>
      <c r="C5" s="1319"/>
      <c r="D5" s="1319"/>
      <c r="E5" s="1319"/>
      <c r="F5" s="1319"/>
      <c r="G5" s="1319"/>
      <c r="H5" s="1319"/>
      <c r="I5" s="1319"/>
      <c r="J5" s="491"/>
      <c r="K5" s="491"/>
      <c r="L5" s="491"/>
      <c r="M5" s="491"/>
      <c r="N5" s="491"/>
      <c r="O5" s="491"/>
      <c r="P5" s="491"/>
      <c r="Q5" s="491"/>
      <c r="R5" s="491"/>
      <c r="S5" s="491"/>
      <c r="T5" s="492"/>
      <c r="U5" s="58"/>
    </row>
    <row r="6" spans="1:21" ht="13.5" customHeight="1">
      <c r="A6" s="60"/>
      <c r="B6" s="126"/>
      <c r="C6" s="1197"/>
      <c r="D6" s="1197"/>
      <c r="E6" s="1197"/>
      <c r="F6" s="1197"/>
      <c r="G6" s="1197"/>
      <c r="H6" s="1197"/>
      <c r="I6" s="1197"/>
      <c r="J6" s="491"/>
      <c r="K6" s="491"/>
      <c r="L6" s="491"/>
      <c r="M6" s="491"/>
      <c r="N6" s="491"/>
      <c r="O6" s="491"/>
      <c r="P6" s="491"/>
      <c r="Q6" s="491"/>
      <c r="R6" s="491"/>
      <c r="S6" s="491"/>
      <c r="T6" s="492"/>
      <c r="U6" s="58"/>
    </row>
    <row r="7" spans="1:21" ht="16.5" customHeight="1">
      <c r="A7" s="60"/>
      <c r="B7" s="97"/>
      <c r="C7" s="1322" t="s">
        <v>402</v>
      </c>
      <c r="D7" s="1322"/>
      <c r="E7" s="1322"/>
      <c r="F7" s="1322"/>
      <c r="G7" s="1322"/>
      <c r="H7" s="1322"/>
      <c r="I7" s="1322"/>
      <c r="J7" s="99"/>
      <c r="K7" s="1322" t="s">
        <v>403</v>
      </c>
      <c r="L7" s="1322"/>
      <c r="M7" s="1322"/>
      <c r="N7" s="1322"/>
      <c r="O7" s="1322"/>
      <c r="P7" s="1322"/>
      <c r="Q7" s="1322"/>
      <c r="R7" s="1322"/>
      <c r="S7" s="1322"/>
      <c r="T7" s="100"/>
      <c r="U7" s="58"/>
    </row>
    <row r="8" spans="1:21" ht="17.25" customHeight="1" thickBot="1">
      <c r="A8" s="60"/>
      <c r="B8" s="101"/>
      <c r="C8" s="1321" t="s">
        <v>437</v>
      </c>
      <c r="D8" s="1321"/>
      <c r="E8" s="1321"/>
      <c r="F8" s="1321"/>
      <c r="G8" s="1321"/>
      <c r="H8" s="1321"/>
      <c r="I8" s="1321"/>
      <c r="J8" s="99"/>
      <c r="K8" s="1321" t="s">
        <v>405</v>
      </c>
      <c r="L8" s="1321"/>
      <c r="M8" s="1321"/>
      <c r="N8" s="1321"/>
      <c r="O8" s="275"/>
      <c r="P8" s="1321" t="s">
        <v>600</v>
      </c>
      <c r="Q8" s="1321"/>
      <c r="R8" s="1321"/>
      <c r="S8" s="1321"/>
      <c r="T8" s="102"/>
      <c r="U8" s="58"/>
    </row>
    <row r="9" spans="1:21" ht="24" customHeight="1" thickBot="1">
      <c r="A9" s="60"/>
      <c r="B9" s="101"/>
      <c r="C9" s="357" t="s">
        <v>15</v>
      </c>
      <c r="D9" s="356" t="s">
        <v>16</v>
      </c>
      <c r="E9" s="358" t="s">
        <v>12</v>
      </c>
      <c r="F9" s="359" t="s">
        <v>316</v>
      </c>
      <c r="G9" s="357" t="s">
        <v>12</v>
      </c>
      <c r="H9" s="359" t="s">
        <v>17</v>
      </c>
      <c r="I9" s="360" t="s">
        <v>12</v>
      </c>
      <c r="J9" s="361"/>
      <c r="K9" s="357" t="s">
        <v>204</v>
      </c>
      <c r="L9" s="359" t="s">
        <v>318</v>
      </c>
      <c r="M9" s="359" t="s">
        <v>12</v>
      </c>
      <c r="N9" s="362" t="s">
        <v>317</v>
      </c>
      <c r="O9" s="361"/>
      <c r="P9" s="357" t="s">
        <v>204</v>
      </c>
      <c r="Q9" s="359" t="s">
        <v>318</v>
      </c>
      <c r="R9" s="359" t="s">
        <v>12</v>
      </c>
      <c r="S9" s="362" t="s">
        <v>317</v>
      </c>
      <c r="T9" s="493"/>
      <c r="U9" s="58"/>
    </row>
    <row r="10" spans="1:21" ht="18" customHeight="1">
      <c r="A10" s="60"/>
      <c r="B10" s="101"/>
      <c r="C10" s="267" t="s">
        <v>0</v>
      </c>
      <c r="D10" s="268">
        <v>43.235</v>
      </c>
      <c r="E10" s="209">
        <f>(D10/D26)*100</f>
        <v>30.15602876453397</v>
      </c>
      <c r="F10" s="268">
        <v>37.119</v>
      </c>
      <c r="G10" s="209">
        <f>(F10/F26)*100</f>
        <v>33.51239594806883</v>
      </c>
      <c r="H10" s="268">
        <v>21</v>
      </c>
      <c r="I10" s="214">
        <f>(H10/D10)*100</f>
        <v>48.571758991557765</v>
      </c>
      <c r="J10" s="104"/>
      <c r="K10" s="848" t="s">
        <v>1</v>
      </c>
      <c r="L10" s="849">
        <v>7897.958</v>
      </c>
      <c r="M10" s="268">
        <f>(L10/$L$26)*100</f>
        <v>21.277322903061258</v>
      </c>
      <c r="N10" s="849">
        <v>1272.104</v>
      </c>
      <c r="O10" s="276"/>
      <c r="P10" s="1170" t="s">
        <v>1</v>
      </c>
      <c r="Q10" s="849">
        <v>3484.067</v>
      </c>
      <c r="R10" s="268">
        <f aca="true" t="shared" si="0" ref="R10:R26">(Q10/$Q$26)*100</f>
        <v>18.950626517203997</v>
      </c>
      <c r="S10" s="849">
        <v>507.5381</v>
      </c>
      <c r="T10" s="105"/>
      <c r="U10" s="58"/>
    </row>
    <row r="11" spans="1:21" ht="18" customHeight="1">
      <c r="A11" s="60"/>
      <c r="B11" s="101"/>
      <c r="C11" s="269" t="s">
        <v>170</v>
      </c>
      <c r="D11" s="268">
        <v>27.5</v>
      </c>
      <c r="E11" s="209">
        <f>(D11/D26)*100</f>
        <v>19.181005921699644</v>
      </c>
      <c r="F11" s="270">
        <v>20.205</v>
      </c>
      <c r="G11" s="209">
        <f>(F11/F26)*100</f>
        <v>18.241815785197087</v>
      </c>
      <c r="H11" s="270">
        <v>2.3</v>
      </c>
      <c r="I11" s="214">
        <f aca="true" t="shared" si="1" ref="I11:I26">(H11/D11)*100</f>
        <v>8.363636363636363</v>
      </c>
      <c r="J11" s="104"/>
      <c r="K11" s="850" t="s">
        <v>193</v>
      </c>
      <c r="L11" s="849">
        <v>6551.268</v>
      </c>
      <c r="M11" s="268">
        <f aca="true" t="shared" si="2" ref="M11:M26">(L11/$L$26)*100</f>
        <v>17.649301839854342</v>
      </c>
      <c r="N11" s="849">
        <v>1074.697</v>
      </c>
      <c r="O11" s="276"/>
      <c r="P11" s="1171" t="s">
        <v>193</v>
      </c>
      <c r="Q11" s="849">
        <v>3404.286</v>
      </c>
      <c r="R11" s="268">
        <f t="shared" si="0"/>
        <v>18.51667965735054</v>
      </c>
      <c r="S11" s="849">
        <v>479.344</v>
      </c>
      <c r="T11" s="107"/>
      <c r="U11" s="58"/>
    </row>
    <row r="12" spans="1:21" ht="18" customHeight="1">
      <c r="A12" s="60"/>
      <c r="B12" s="101"/>
      <c r="C12" s="267" t="s">
        <v>171</v>
      </c>
      <c r="D12" s="268">
        <v>13.5</v>
      </c>
      <c r="E12" s="209">
        <f>(D12/D26)*100</f>
        <v>9.416130179743462</v>
      </c>
      <c r="F12" s="270">
        <v>12.281</v>
      </c>
      <c r="G12" s="209">
        <f>(F12/F26)*100</f>
        <v>11.087737671764684</v>
      </c>
      <c r="H12" s="270">
        <v>1.6</v>
      </c>
      <c r="I12" s="214">
        <f t="shared" si="1"/>
        <v>11.851851851851853</v>
      </c>
      <c r="J12" s="104"/>
      <c r="K12" s="850" t="s">
        <v>194</v>
      </c>
      <c r="L12" s="849">
        <v>3070.582</v>
      </c>
      <c r="M12" s="268">
        <f t="shared" si="2"/>
        <v>8.272235014965595</v>
      </c>
      <c r="N12" s="849">
        <v>565.344</v>
      </c>
      <c r="O12" s="276"/>
      <c r="P12" s="1161" t="s">
        <v>196</v>
      </c>
      <c r="Q12" s="849">
        <v>1453.156</v>
      </c>
      <c r="R12" s="268">
        <f t="shared" si="0"/>
        <v>7.904043357155328</v>
      </c>
      <c r="S12" s="849">
        <v>248.876</v>
      </c>
      <c r="T12" s="107"/>
      <c r="U12" s="58"/>
    </row>
    <row r="13" spans="1:21" ht="18" customHeight="1">
      <c r="A13" s="60"/>
      <c r="B13" s="101"/>
      <c r="C13" s="267" t="s">
        <v>172</v>
      </c>
      <c r="D13" s="268">
        <v>11</v>
      </c>
      <c r="E13" s="209">
        <f>(D13/D26)*100</f>
        <v>7.672402368679858</v>
      </c>
      <c r="F13" s="270">
        <v>6.646</v>
      </c>
      <c r="G13" s="209">
        <f>(F13/F26)*100</f>
        <v>6.000252794279627</v>
      </c>
      <c r="H13" s="270">
        <v>4.17</v>
      </c>
      <c r="I13" s="214">
        <f t="shared" si="1"/>
        <v>37.90909090909091</v>
      </c>
      <c r="J13" s="104"/>
      <c r="K13" s="850" t="s">
        <v>196</v>
      </c>
      <c r="L13" s="849">
        <v>2527.114</v>
      </c>
      <c r="M13" s="268">
        <f t="shared" si="2"/>
        <v>6.808116805742288</v>
      </c>
      <c r="N13" s="849">
        <v>490.754</v>
      </c>
      <c r="O13" s="276"/>
      <c r="P13" s="1161" t="s">
        <v>194</v>
      </c>
      <c r="Q13" s="849">
        <v>1397.763</v>
      </c>
      <c r="R13" s="268">
        <f t="shared" si="0"/>
        <v>7.602748331925479</v>
      </c>
      <c r="S13" s="849">
        <v>223.606</v>
      </c>
      <c r="T13" s="107"/>
      <c r="U13" s="58"/>
    </row>
    <row r="14" spans="1:21" ht="18" customHeight="1">
      <c r="A14" s="60"/>
      <c r="B14" s="101"/>
      <c r="C14" s="267" t="s">
        <v>173</v>
      </c>
      <c r="D14" s="268">
        <v>6.4</v>
      </c>
      <c r="E14" s="209">
        <f>(D14/D26)*100</f>
        <v>4.463943196322827</v>
      </c>
      <c r="F14" s="270">
        <v>2.872</v>
      </c>
      <c r="G14" s="209">
        <f>(F14/F26)*100</f>
        <v>2.5929470395984184</v>
      </c>
      <c r="H14" s="270">
        <v>3.7</v>
      </c>
      <c r="I14" s="214">
        <f t="shared" si="1"/>
        <v>57.8125</v>
      </c>
      <c r="J14" s="104"/>
      <c r="K14" s="850" t="s">
        <v>195</v>
      </c>
      <c r="L14" s="849">
        <v>2291.647</v>
      </c>
      <c r="M14" s="268">
        <f t="shared" si="2"/>
        <v>6.173762027961104</v>
      </c>
      <c r="N14" s="849">
        <v>406.476</v>
      </c>
      <c r="O14" s="276"/>
      <c r="P14" s="1161" t="s">
        <v>202</v>
      </c>
      <c r="Q14" s="849">
        <v>509.794</v>
      </c>
      <c r="R14" s="268">
        <f t="shared" si="0"/>
        <v>2.7728845899666954</v>
      </c>
      <c r="S14" s="849">
        <v>76.807</v>
      </c>
      <c r="T14" s="107"/>
      <c r="U14" s="58"/>
    </row>
    <row r="15" spans="1:21" ht="18" customHeight="1">
      <c r="A15" s="60"/>
      <c r="B15" s="101"/>
      <c r="C15" s="267" t="s">
        <v>174</v>
      </c>
      <c r="D15" s="268">
        <v>5.8</v>
      </c>
      <c r="E15" s="209">
        <f>(D15/D26)*100</f>
        <v>4.045448521667561</v>
      </c>
      <c r="F15" s="268">
        <v>5.115</v>
      </c>
      <c r="G15" s="209">
        <f>(F15/F26)*100</f>
        <v>4.618009786749969</v>
      </c>
      <c r="H15" s="270">
        <v>2.25</v>
      </c>
      <c r="I15" s="214">
        <f t="shared" si="1"/>
        <v>38.793103448275865</v>
      </c>
      <c r="J15" s="104"/>
      <c r="K15" s="850" t="s">
        <v>199</v>
      </c>
      <c r="L15" s="849">
        <v>1042.9</v>
      </c>
      <c r="M15" s="268">
        <f t="shared" si="2"/>
        <v>2.8096021852233943</v>
      </c>
      <c r="N15" s="849">
        <v>174.02</v>
      </c>
      <c r="O15" s="276"/>
      <c r="P15" s="1161" t="s">
        <v>198</v>
      </c>
      <c r="Q15" s="849">
        <v>452.868</v>
      </c>
      <c r="R15" s="268">
        <f t="shared" si="0"/>
        <v>2.463251231848624</v>
      </c>
      <c r="S15" s="849">
        <v>69.174</v>
      </c>
      <c r="T15" s="107"/>
      <c r="U15" s="58"/>
    </row>
    <row r="16" spans="1:22" ht="18" customHeight="1">
      <c r="A16" s="60"/>
      <c r="B16" s="101"/>
      <c r="C16" s="267" t="s">
        <v>176</v>
      </c>
      <c r="D16" s="268">
        <v>5.8</v>
      </c>
      <c r="E16" s="209">
        <f>(D16/D26)*100</f>
        <v>4.045448521667561</v>
      </c>
      <c r="F16" s="270">
        <v>5.02</v>
      </c>
      <c r="G16" s="209">
        <f>(F16/F26)*100</f>
        <v>4.532240299019518</v>
      </c>
      <c r="H16" s="270">
        <v>0.25</v>
      </c>
      <c r="I16" s="214">
        <f t="shared" si="1"/>
        <v>4.310344827586207</v>
      </c>
      <c r="J16" s="104"/>
      <c r="K16" s="850" t="s">
        <v>201</v>
      </c>
      <c r="L16" s="849">
        <v>815.554</v>
      </c>
      <c r="M16" s="268">
        <f t="shared" si="2"/>
        <v>2.197125611820577</v>
      </c>
      <c r="N16" s="849">
        <v>117.195</v>
      </c>
      <c r="O16" s="276"/>
      <c r="P16" s="1259" t="s">
        <v>294</v>
      </c>
      <c r="Q16" s="849">
        <v>404.248</v>
      </c>
      <c r="R16" s="268">
        <f aca="true" t="shared" si="3" ref="R16:R23">(Q17/$Q$26)*100</f>
        <v>2.163424797538424</v>
      </c>
      <c r="S16" s="849">
        <v>55.288</v>
      </c>
      <c r="T16" s="107"/>
      <c r="U16" s="58"/>
      <c r="V16" s="51"/>
    </row>
    <row r="17" spans="1:22" ht="18" customHeight="1">
      <c r="A17" s="60"/>
      <c r="B17" s="101"/>
      <c r="C17" s="267" t="s">
        <v>178</v>
      </c>
      <c r="D17" s="268">
        <v>4.8</v>
      </c>
      <c r="E17" s="209">
        <f>(D17/D26)*100</f>
        <v>3.3479573972421197</v>
      </c>
      <c r="F17" s="268">
        <v>3.455</v>
      </c>
      <c r="G17" s="209">
        <f>(F17/F26)*100</f>
        <v>3.1193008432494898</v>
      </c>
      <c r="H17" s="268">
        <v>0.345</v>
      </c>
      <c r="I17" s="214">
        <f t="shared" si="1"/>
        <v>7.187499999999999</v>
      </c>
      <c r="J17" s="104"/>
      <c r="K17" s="850" t="s">
        <v>197</v>
      </c>
      <c r="L17" s="849">
        <v>760.437</v>
      </c>
      <c r="M17" s="268">
        <f t="shared" si="2"/>
        <v>2.0486388502490382</v>
      </c>
      <c r="N17" s="849">
        <v>127.767</v>
      </c>
      <c r="O17" s="276"/>
      <c r="P17" s="1171" t="s">
        <v>201</v>
      </c>
      <c r="Q17" s="849">
        <v>397.745</v>
      </c>
      <c r="R17" s="268">
        <f t="shared" si="3"/>
        <v>1.9656001614362164</v>
      </c>
      <c r="S17" s="849">
        <v>53.011</v>
      </c>
      <c r="T17" s="107"/>
      <c r="U17" s="58"/>
      <c r="V17" s="51"/>
    </row>
    <row r="18" spans="1:22" ht="18" customHeight="1">
      <c r="A18" s="60"/>
      <c r="B18" s="108"/>
      <c r="C18" s="267" t="s">
        <v>177</v>
      </c>
      <c r="D18" s="268">
        <v>3.9</v>
      </c>
      <c r="E18" s="209">
        <f>(D18/D26)*100</f>
        <v>2.7202153852592224</v>
      </c>
      <c r="F18" s="270">
        <v>2.467</v>
      </c>
      <c r="G18" s="209">
        <f>(F18/F26)*100</f>
        <v>2.2272981708528197</v>
      </c>
      <c r="H18" s="270">
        <v>2.354</v>
      </c>
      <c r="I18" s="214">
        <f t="shared" si="1"/>
        <v>60.35897435897436</v>
      </c>
      <c r="J18" s="104"/>
      <c r="K18" s="850" t="s">
        <v>198</v>
      </c>
      <c r="L18" s="849">
        <v>754.104</v>
      </c>
      <c r="M18" s="268">
        <f t="shared" si="2"/>
        <v>2.03157756859306</v>
      </c>
      <c r="N18" s="849">
        <v>156.465</v>
      </c>
      <c r="O18" s="276"/>
      <c r="P18" s="1171" t="s">
        <v>197</v>
      </c>
      <c r="Q18" s="849">
        <v>361.375</v>
      </c>
      <c r="R18" s="268">
        <f t="shared" si="3"/>
        <v>2.0986273026281794</v>
      </c>
      <c r="S18" s="849">
        <v>55.217</v>
      </c>
      <c r="T18" s="109"/>
      <c r="U18" s="58"/>
      <c r="V18" s="51"/>
    </row>
    <row r="19" spans="1:22" ht="18" customHeight="1">
      <c r="A19" s="60"/>
      <c r="B19" s="108"/>
      <c r="C19" s="267" t="s">
        <v>179</v>
      </c>
      <c r="D19" s="268">
        <v>3.4</v>
      </c>
      <c r="E19" s="209">
        <f>(D19/D26)*100</f>
        <v>2.3714698230465014</v>
      </c>
      <c r="F19" s="270">
        <v>2.943</v>
      </c>
      <c r="G19" s="209">
        <f>(F19/F26)*100</f>
        <v>2.6570484462180173</v>
      </c>
      <c r="H19" s="270">
        <v>0.34</v>
      </c>
      <c r="I19" s="214">
        <f t="shared" si="1"/>
        <v>10</v>
      </c>
      <c r="J19" s="104"/>
      <c r="K19" s="850" t="s">
        <v>177</v>
      </c>
      <c r="L19" s="849">
        <v>749.663</v>
      </c>
      <c r="M19" s="268">
        <f t="shared" si="2"/>
        <v>2.0196133886097662</v>
      </c>
      <c r="N19" s="849">
        <v>92.383</v>
      </c>
      <c r="O19" s="276"/>
      <c r="P19" s="1171" t="s">
        <v>200</v>
      </c>
      <c r="Q19" s="849">
        <v>385.832</v>
      </c>
      <c r="R19" s="268">
        <f t="shared" si="3"/>
        <v>1.646279542474097</v>
      </c>
      <c r="S19" s="849">
        <v>52.739</v>
      </c>
      <c r="T19" s="109"/>
      <c r="U19" s="57"/>
      <c r="V19" s="51"/>
    </row>
    <row r="20" spans="1:22" ht="18" customHeight="1">
      <c r="A20" s="60"/>
      <c r="B20" s="108"/>
      <c r="C20" s="267" t="s">
        <v>175</v>
      </c>
      <c r="D20" s="268">
        <v>3.2</v>
      </c>
      <c r="E20" s="209">
        <f>(D20/D26)*100</f>
        <v>2.2319715981614134</v>
      </c>
      <c r="F20" s="270">
        <v>2.443</v>
      </c>
      <c r="G20" s="209">
        <f>(F20/F26)*100</f>
        <v>2.205630089741969</v>
      </c>
      <c r="H20" s="270">
        <v>0.3</v>
      </c>
      <c r="I20" s="214">
        <f t="shared" si="1"/>
        <v>9.374999999999998</v>
      </c>
      <c r="J20" s="104"/>
      <c r="K20" s="850" t="s">
        <v>294</v>
      </c>
      <c r="L20" s="849">
        <v>731.859</v>
      </c>
      <c r="M20" s="268">
        <f t="shared" si="2"/>
        <v>1.9716489075418624</v>
      </c>
      <c r="N20" s="849">
        <v>118.461</v>
      </c>
      <c r="O20" s="276"/>
      <c r="P20" s="1171" t="s">
        <v>303</v>
      </c>
      <c r="Q20" s="849">
        <v>302.668</v>
      </c>
      <c r="R20" s="268">
        <f t="shared" si="3"/>
        <v>1.6312564012886615</v>
      </c>
      <c r="S20" s="849">
        <v>47.554</v>
      </c>
      <c r="T20" s="100"/>
      <c r="U20" s="57"/>
      <c r="V20" s="51"/>
    </row>
    <row r="21" spans="1:22" ht="18" customHeight="1">
      <c r="A21" s="60"/>
      <c r="B21" s="108"/>
      <c r="C21" s="267" t="s">
        <v>436</v>
      </c>
      <c r="D21" s="268">
        <v>1.8</v>
      </c>
      <c r="E21" s="209">
        <f>(D21/D26)*100</f>
        <v>1.255484023965795</v>
      </c>
      <c r="F21" s="270">
        <v>1.438</v>
      </c>
      <c r="G21" s="209">
        <f>(F21/F26)*100</f>
        <v>1.2982791932251132</v>
      </c>
      <c r="H21" s="270">
        <v>0.3</v>
      </c>
      <c r="I21" s="214">
        <f t="shared" si="1"/>
        <v>16.666666666666664</v>
      </c>
      <c r="J21" s="104"/>
      <c r="K21" s="850" t="s">
        <v>400</v>
      </c>
      <c r="L21" s="849">
        <v>618.127</v>
      </c>
      <c r="M21" s="268">
        <f t="shared" si="2"/>
        <v>1.6652516731667282</v>
      </c>
      <c r="N21" s="849">
        <v>80.628</v>
      </c>
      <c r="O21" s="276"/>
      <c r="P21" s="1161" t="s">
        <v>199</v>
      </c>
      <c r="Q21" s="849">
        <v>299.906</v>
      </c>
      <c r="R21" s="268">
        <f t="shared" si="3"/>
        <v>1.5262303936313193</v>
      </c>
      <c r="S21" s="849">
        <v>53.69</v>
      </c>
      <c r="T21" s="100"/>
      <c r="U21" s="57"/>
      <c r="V21" s="51"/>
    </row>
    <row r="22" spans="1:22" ht="18" customHeight="1">
      <c r="A22" s="60"/>
      <c r="B22" s="108"/>
      <c r="C22" s="267" t="s">
        <v>182</v>
      </c>
      <c r="D22" s="268">
        <v>1.4925</v>
      </c>
      <c r="E22" s="209">
        <f>(D22/D26)*100</f>
        <v>1.0410055032049716</v>
      </c>
      <c r="F22" s="270">
        <v>1.133</v>
      </c>
      <c r="G22" s="209">
        <f>(F22/F26)*100</f>
        <v>1.0229139957747242</v>
      </c>
      <c r="H22" s="270">
        <v>0.2</v>
      </c>
      <c r="I22" s="214">
        <f t="shared" si="1"/>
        <v>13.400335008375212</v>
      </c>
      <c r="J22" s="104"/>
      <c r="K22" s="850" t="s">
        <v>200</v>
      </c>
      <c r="L22" s="849">
        <v>607.807</v>
      </c>
      <c r="M22" s="268">
        <f t="shared" si="2"/>
        <v>1.637449300406631</v>
      </c>
      <c r="N22" s="849">
        <v>98.738</v>
      </c>
      <c r="O22" s="276"/>
      <c r="P22" s="1161" t="s">
        <v>510</v>
      </c>
      <c r="Q22" s="849">
        <v>280.597</v>
      </c>
      <c r="R22" s="268">
        <f t="shared" si="3"/>
        <v>1.316064154578441</v>
      </c>
      <c r="S22" s="849">
        <v>33.176</v>
      </c>
      <c r="T22" s="100"/>
      <c r="U22" s="57"/>
      <c r="V22" s="51"/>
    </row>
    <row r="23" spans="1:22" ht="18" customHeight="1">
      <c r="A23" s="60"/>
      <c r="B23" s="108"/>
      <c r="C23" s="267" t="s">
        <v>439</v>
      </c>
      <c r="D23" s="268">
        <v>0.833</v>
      </c>
      <c r="E23" s="209">
        <f>(D23/D26)*100</f>
        <v>0.5810101066463929</v>
      </c>
      <c r="F23" s="268">
        <v>0.697</v>
      </c>
      <c r="G23" s="209">
        <f>(F23/F26)*100</f>
        <v>0.6292771889276105</v>
      </c>
      <c r="H23" s="270">
        <v>0.05</v>
      </c>
      <c r="I23" s="214">
        <f t="shared" si="1"/>
        <v>6.002400960384154</v>
      </c>
      <c r="J23" s="104"/>
      <c r="K23" s="850" t="s">
        <v>303</v>
      </c>
      <c r="L23" s="849">
        <v>540.077</v>
      </c>
      <c r="M23" s="268">
        <f t="shared" si="2"/>
        <v>1.4549827590266515</v>
      </c>
      <c r="N23" s="849">
        <v>100.363</v>
      </c>
      <c r="O23" s="276"/>
      <c r="P23" s="1161" t="s">
        <v>511</v>
      </c>
      <c r="Q23" s="849">
        <v>241.958</v>
      </c>
      <c r="R23" s="268">
        <f t="shared" si="3"/>
        <v>1.3102006693511057</v>
      </c>
      <c r="S23" s="849">
        <v>30.158</v>
      </c>
      <c r="T23" s="100"/>
      <c r="U23" s="57"/>
      <c r="V23" s="51"/>
    </row>
    <row r="24" spans="1:22" ht="18" customHeight="1">
      <c r="A24" s="60"/>
      <c r="B24" s="108"/>
      <c r="C24" s="267" t="s">
        <v>438</v>
      </c>
      <c r="D24" s="268">
        <v>0.7</v>
      </c>
      <c r="E24" s="209">
        <f>(D24/D26)*100</f>
        <v>0.4882437870978091</v>
      </c>
      <c r="F24" s="270">
        <v>1.089</v>
      </c>
      <c r="G24" s="209">
        <f>(F24/F26)*100</f>
        <v>0.9831891804048319</v>
      </c>
      <c r="H24" s="270">
        <v>0.155</v>
      </c>
      <c r="I24" s="214">
        <f t="shared" si="1"/>
        <v>22.142857142857146</v>
      </c>
      <c r="J24" s="104"/>
      <c r="K24" s="850" t="s">
        <v>401</v>
      </c>
      <c r="L24" s="849">
        <v>438.037</v>
      </c>
      <c r="M24" s="268">
        <f t="shared" si="2"/>
        <v>1.1800841043328216</v>
      </c>
      <c r="N24" s="849">
        <v>72.904</v>
      </c>
      <c r="O24" s="276"/>
      <c r="P24" s="1161" t="s">
        <v>177</v>
      </c>
      <c r="Q24" s="849">
        <v>240.88</v>
      </c>
      <c r="R24" s="268">
        <f>(Q24/$Q$26)*100</f>
        <v>1.3102006693511057</v>
      </c>
      <c r="S24" s="849">
        <v>30.234</v>
      </c>
      <c r="T24" s="100"/>
      <c r="U24" s="57"/>
      <c r="V24" s="51"/>
    </row>
    <row r="25" spans="1:22" ht="16.5" customHeight="1" thickBot="1">
      <c r="A25" s="60"/>
      <c r="B25" s="108"/>
      <c r="C25" s="271" t="s">
        <v>191</v>
      </c>
      <c r="D25" s="272">
        <f>D26-SUM(D10:D24)</f>
        <v>10.010500000000008</v>
      </c>
      <c r="E25" s="210">
        <f>(D25/D26)*100</f>
        <v>6.982234901060889</v>
      </c>
      <c r="F25" s="272">
        <f>F26-SUM(F10:F24)</f>
        <v>5.839000000000013</v>
      </c>
      <c r="G25" s="210">
        <f>(F25/F26)*100</f>
        <v>5.271663566927296</v>
      </c>
      <c r="H25" s="272">
        <f>H26-SUM(H10:H24)</f>
        <v>8.719999999999999</v>
      </c>
      <c r="I25" s="792">
        <f t="shared" si="1"/>
        <v>87.1085360371609</v>
      </c>
      <c r="J25" s="104"/>
      <c r="K25" s="1160" t="s">
        <v>14</v>
      </c>
      <c r="L25" s="851">
        <v>7722</v>
      </c>
      <c r="M25" s="272">
        <f t="shared" si="2"/>
        <v>20.803287059444862</v>
      </c>
      <c r="N25" s="849">
        <v>1210.355</v>
      </c>
      <c r="O25" s="276"/>
      <c r="P25" s="1160" t="s">
        <v>14</v>
      </c>
      <c r="Q25" s="851">
        <v>4767.827</v>
      </c>
      <c r="R25" s="272">
        <f t="shared" si="0"/>
        <v>25.933286809823457</v>
      </c>
      <c r="S25" s="849">
        <v>699.341</v>
      </c>
      <c r="T25" s="100"/>
      <c r="U25" s="57"/>
      <c r="V25" s="51"/>
    </row>
    <row r="26" spans="1:22" ht="18" customHeight="1" thickBot="1">
      <c r="A26" s="60"/>
      <c r="B26" s="108"/>
      <c r="C26" s="329" t="s">
        <v>115</v>
      </c>
      <c r="D26" s="330">
        <v>143.371</v>
      </c>
      <c r="E26" s="331">
        <f>SUM(E10:E25)</f>
        <v>100.00000000000001</v>
      </c>
      <c r="F26" s="330">
        <v>110.762</v>
      </c>
      <c r="G26" s="331">
        <f>SUM(G10:G25)</f>
        <v>100.00000000000003</v>
      </c>
      <c r="H26" s="332">
        <v>48.034</v>
      </c>
      <c r="I26" s="793">
        <f t="shared" si="1"/>
        <v>33.50328867065166</v>
      </c>
      <c r="J26" s="110"/>
      <c r="K26" s="326" t="s">
        <v>115</v>
      </c>
      <c r="L26" s="539">
        <f>SUM(L10:L25)</f>
        <v>37119.134000000005</v>
      </c>
      <c r="M26" s="852">
        <f t="shared" si="2"/>
        <v>100</v>
      </c>
      <c r="N26" s="328">
        <f>SUM(N10:N25)</f>
        <v>6158.654</v>
      </c>
      <c r="O26" s="494"/>
      <c r="P26" s="326" t="s">
        <v>115</v>
      </c>
      <c r="Q26" s="539">
        <f>SUM(Q10:Q25)</f>
        <v>18384.97</v>
      </c>
      <c r="R26" s="327">
        <f t="shared" si="0"/>
        <v>100</v>
      </c>
      <c r="S26" s="328">
        <f>SUM(S10:S25)</f>
        <v>2715.7531</v>
      </c>
      <c r="T26" s="100"/>
      <c r="U26" s="57"/>
      <c r="V26" s="51"/>
    </row>
    <row r="27" spans="1:22" ht="16.5" customHeight="1">
      <c r="A27" s="57"/>
      <c r="B27" s="111"/>
      <c r="C27" s="495" t="s">
        <v>192</v>
      </c>
      <c r="D27" s="113"/>
      <c r="E27" s="113"/>
      <c r="F27" s="113"/>
      <c r="G27" s="113"/>
      <c r="H27" s="113"/>
      <c r="I27" s="113"/>
      <c r="J27" s="113"/>
      <c r="K27" s="496" t="s">
        <v>222</v>
      </c>
      <c r="L27" s="496"/>
      <c r="M27" s="496"/>
      <c r="N27" s="496"/>
      <c r="O27" s="497"/>
      <c r="P27" s="496" t="s">
        <v>222</v>
      </c>
      <c r="Q27" s="497"/>
      <c r="R27" s="497"/>
      <c r="S27" s="277">
        <f ca="1">NOW()</f>
        <v>42592.37758032407</v>
      </c>
      <c r="T27" s="131"/>
      <c r="U27" s="57"/>
      <c r="V27" s="51"/>
    </row>
    <row r="28" spans="1:22" ht="15">
      <c r="A28" s="57"/>
      <c r="B28" s="57"/>
      <c r="C28" s="57"/>
      <c r="D28" s="57"/>
      <c r="E28" s="57"/>
      <c r="F28" s="57"/>
      <c r="G28" s="57"/>
      <c r="H28" s="57"/>
      <c r="I28" s="57"/>
      <c r="J28" s="57"/>
      <c r="K28" s="57"/>
      <c r="L28" s="57"/>
      <c r="M28" s="57"/>
      <c r="N28" s="57"/>
      <c r="O28" s="57"/>
      <c r="P28" s="57"/>
      <c r="Q28" s="57"/>
      <c r="R28" s="57"/>
      <c r="S28" s="57"/>
      <c r="T28" s="57"/>
      <c r="U28" s="57"/>
      <c r="V28" s="51"/>
    </row>
  </sheetData>
  <sheetProtection/>
  <mergeCells count="8">
    <mergeCell ref="A1:U1"/>
    <mergeCell ref="B4:T4"/>
    <mergeCell ref="K8:N8"/>
    <mergeCell ref="C7:I7"/>
    <mergeCell ref="C8:I8"/>
    <mergeCell ref="P8:S8"/>
    <mergeCell ref="C5:I5"/>
    <mergeCell ref="K7:S7"/>
  </mergeCells>
  <printOptions horizontalCentered="1" verticalCentered="1"/>
  <pageMargins left="0.5118110236220472" right="0.5118110236220472" top="0.7874015748031497" bottom="0.7874015748031497" header="0.31496062992125984" footer="0.31496062992125984"/>
  <pageSetup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dimension ref="A1:R28"/>
  <sheetViews>
    <sheetView zoomScalePageLayoutView="0" workbookViewId="0" topLeftCell="A1">
      <selection activeCell="R26" sqref="R26"/>
    </sheetView>
  </sheetViews>
  <sheetFormatPr defaultColWidth="9.140625" defaultRowHeight="12.75"/>
  <cols>
    <col min="1" max="2" width="2.7109375" style="0" customWidth="1"/>
    <col min="3" max="3" width="10.57421875" style="0" customWidth="1"/>
    <col min="4" max="5" width="11.57421875" style="0" bestFit="1" customWidth="1"/>
    <col min="6" max="6" width="7.00390625" style="0" customWidth="1"/>
    <col min="7" max="8" width="8.7109375" style="0" bestFit="1" customWidth="1"/>
    <col min="9" max="9" width="7.57421875" style="0" bestFit="1" customWidth="1"/>
    <col min="10" max="10" width="2.7109375" style="0" customWidth="1"/>
    <col min="11" max="11" width="11.421875" style="0" bestFit="1" customWidth="1"/>
    <col min="12" max="12" width="10.140625" style="0" bestFit="1" customWidth="1"/>
    <col min="13" max="13" width="11.57421875" style="0" bestFit="1" customWidth="1"/>
    <col min="14" max="14" width="14.28125" style="0" customWidth="1"/>
    <col min="15" max="15" width="8.140625" style="0" customWidth="1"/>
    <col min="16" max="17" width="2.7109375" style="0" customWidth="1"/>
  </cols>
  <sheetData>
    <row r="1" spans="1:17" ht="15" customHeight="1">
      <c r="A1" s="1323" t="s">
        <v>408</v>
      </c>
      <c r="B1" s="1323"/>
      <c r="C1" s="1323"/>
      <c r="D1" s="1323"/>
      <c r="E1" s="1323"/>
      <c r="F1" s="1323"/>
      <c r="G1" s="1323"/>
      <c r="H1" s="1323"/>
      <c r="I1" s="1323"/>
      <c r="J1" s="1323"/>
      <c r="K1" s="1323"/>
      <c r="L1" s="1323"/>
      <c r="M1" s="1323"/>
      <c r="N1" s="1323"/>
      <c r="O1" s="1323"/>
      <c r="P1" s="1323"/>
      <c r="Q1" s="1323"/>
    </row>
    <row r="2" spans="1:17" ht="15.75" customHeight="1">
      <c r="A2" s="58"/>
      <c r="B2" s="787"/>
      <c r="C2" s="788"/>
      <c r="D2" s="788"/>
      <c r="E2" s="788"/>
      <c r="F2" s="788"/>
      <c r="G2" s="788"/>
      <c r="H2" s="788"/>
      <c r="I2" s="788"/>
      <c r="J2" s="788"/>
      <c r="K2" s="788"/>
      <c r="L2" s="788"/>
      <c r="M2" s="788"/>
      <c r="N2" s="788"/>
      <c r="O2" s="788"/>
      <c r="P2" s="789"/>
      <c r="Q2" s="58"/>
    </row>
    <row r="3" spans="1:17" ht="15.75" customHeight="1">
      <c r="A3" s="58"/>
      <c r="B3" s="1318" t="s">
        <v>399</v>
      </c>
      <c r="C3" s="1319"/>
      <c r="D3" s="1319"/>
      <c r="E3" s="1319"/>
      <c r="F3" s="1319"/>
      <c r="G3" s="1319"/>
      <c r="H3" s="1319"/>
      <c r="I3" s="1319"/>
      <c r="J3" s="1319"/>
      <c r="K3" s="1319"/>
      <c r="L3" s="1319"/>
      <c r="M3" s="1319"/>
      <c r="N3" s="1319"/>
      <c r="O3" s="1319"/>
      <c r="P3" s="1320"/>
      <c r="Q3" s="58"/>
    </row>
    <row r="4" spans="1:17" ht="15.75" customHeight="1">
      <c r="A4" s="58"/>
      <c r="B4" s="1196"/>
      <c r="C4" s="1197"/>
      <c r="D4" s="1197"/>
      <c r="E4" s="1197"/>
      <c r="F4" s="1197"/>
      <c r="G4" s="1197"/>
      <c r="H4" s="1197"/>
      <c r="I4" s="1197"/>
      <c r="J4" s="1197"/>
      <c r="K4" s="1197"/>
      <c r="L4" s="1197"/>
      <c r="M4" s="1197"/>
      <c r="N4" s="1197"/>
      <c r="O4" s="1197"/>
      <c r="P4" s="1198"/>
      <c r="Q4" s="58"/>
    </row>
    <row r="5" spans="1:17" ht="15.75" customHeight="1" thickBot="1">
      <c r="A5" s="58"/>
      <c r="B5" s="352"/>
      <c r="C5" s="795" t="s">
        <v>470</v>
      </c>
      <c r="D5" s="791"/>
      <c r="E5" s="791"/>
      <c r="F5" s="791"/>
      <c r="G5" s="791"/>
      <c r="H5" s="791"/>
      <c r="I5" s="791"/>
      <c r="J5" s="353"/>
      <c r="K5" s="137" t="s">
        <v>467</v>
      </c>
      <c r="L5" s="791"/>
      <c r="M5" s="791"/>
      <c r="N5" s="791"/>
      <c r="O5" s="791"/>
      <c r="P5" s="354"/>
      <c r="Q5" s="58"/>
    </row>
    <row r="6" spans="1:17" ht="18" customHeight="1">
      <c r="A6" s="58"/>
      <c r="B6" s="283"/>
      <c r="C6" s="371" t="s">
        <v>211</v>
      </c>
      <c r="D6" s="1326" t="s">
        <v>271</v>
      </c>
      <c r="E6" s="1327"/>
      <c r="F6" s="1328"/>
      <c r="G6" s="1326" t="s">
        <v>272</v>
      </c>
      <c r="H6" s="1327"/>
      <c r="I6" s="1327"/>
      <c r="J6" s="133"/>
      <c r="K6" s="371" t="s">
        <v>273</v>
      </c>
      <c r="L6" s="372" t="s">
        <v>266</v>
      </c>
      <c r="M6" s="372" t="s">
        <v>267</v>
      </c>
      <c r="N6" s="372" t="s">
        <v>268</v>
      </c>
      <c r="O6" s="1329" t="s">
        <v>12</v>
      </c>
      <c r="P6" s="106"/>
      <c r="Q6" s="58"/>
    </row>
    <row r="7" spans="1:17" ht="16.5" customHeight="1" thickBot="1">
      <c r="A7" s="58"/>
      <c r="B7" s="283"/>
      <c r="C7" s="373" t="s">
        <v>210</v>
      </c>
      <c r="D7" s="374">
        <v>2015</v>
      </c>
      <c r="E7" s="375">
        <v>2016</v>
      </c>
      <c r="F7" s="376" t="s">
        <v>12</v>
      </c>
      <c r="G7" s="377">
        <v>2015</v>
      </c>
      <c r="H7" s="375">
        <v>2016</v>
      </c>
      <c r="I7" s="378" t="s">
        <v>12</v>
      </c>
      <c r="J7" s="133"/>
      <c r="K7" s="373" t="s">
        <v>210</v>
      </c>
      <c r="L7" s="376" t="s">
        <v>269</v>
      </c>
      <c r="M7" s="376" t="s">
        <v>270</v>
      </c>
      <c r="N7" s="376" t="s">
        <v>274</v>
      </c>
      <c r="O7" s="1330"/>
      <c r="P7" s="106"/>
      <c r="Q7" s="58"/>
    </row>
    <row r="8" spans="1:17" ht="16.5" customHeight="1">
      <c r="A8" s="58"/>
      <c r="B8" s="283"/>
      <c r="C8" s="198" t="s">
        <v>3</v>
      </c>
      <c r="D8" s="199">
        <v>87657</v>
      </c>
      <c r="E8" s="200">
        <v>87657</v>
      </c>
      <c r="F8" s="207">
        <f>(E8/D8-1)*100</f>
        <v>0</v>
      </c>
      <c r="G8" s="319">
        <v>1723.9</v>
      </c>
      <c r="H8" s="316">
        <v>1626.9</v>
      </c>
      <c r="I8" s="323">
        <f>(H8/G8-1)*100</f>
        <v>-5.626776495156327</v>
      </c>
      <c r="J8" s="99"/>
      <c r="K8" s="198" t="s">
        <v>3</v>
      </c>
      <c r="L8" s="199">
        <v>804</v>
      </c>
      <c r="M8" s="199">
        <v>8911.552</v>
      </c>
      <c r="N8" s="199">
        <v>3713</v>
      </c>
      <c r="O8" s="201">
        <f>(N8/E8)*100</f>
        <v>4.235828285248183</v>
      </c>
      <c r="P8" s="106"/>
      <c r="Q8" s="58"/>
    </row>
    <row r="9" spans="1:17" ht="15.75">
      <c r="A9" s="58"/>
      <c r="B9" s="283"/>
      <c r="C9" s="198" t="s">
        <v>4</v>
      </c>
      <c r="D9" s="199">
        <v>1243</v>
      </c>
      <c r="E9" s="199">
        <v>667</v>
      </c>
      <c r="F9" s="207">
        <f aca="true" t="shared" si="0" ref="F9:F26">(E9/D9-1)*100</f>
        <v>-46.33950120675785</v>
      </c>
      <c r="G9" s="320">
        <v>16.6</v>
      </c>
      <c r="H9" s="316">
        <v>11.3</v>
      </c>
      <c r="I9" s="324">
        <f aca="true" t="shared" si="1" ref="I9:I26">(H9/G9-1)*100</f>
        <v>-31.92771084337349</v>
      </c>
      <c r="J9" s="99"/>
      <c r="K9" s="198" t="s">
        <v>468</v>
      </c>
      <c r="L9" s="199">
        <v>10</v>
      </c>
      <c r="M9" s="199">
        <v>205</v>
      </c>
      <c r="N9" s="199">
        <v>42</v>
      </c>
      <c r="O9" s="201">
        <f>(N9/E9)*100</f>
        <v>6.296851574212893</v>
      </c>
      <c r="P9" s="106"/>
      <c r="Q9" s="58"/>
    </row>
    <row r="10" spans="1:17" ht="21" customHeight="1">
      <c r="A10" s="58"/>
      <c r="B10" s="283"/>
      <c r="C10" s="198" t="s">
        <v>5</v>
      </c>
      <c r="D10" s="199">
        <v>138678</v>
      </c>
      <c r="E10" s="199">
        <v>141923.8</v>
      </c>
      <c r="F10" s="207">
        <f t="shared" si="0"/>
        <v>2.3405298605402303</v>
      </c>
      <c r="G10" s="320">
        <v>2345.7</v>
      </c>
      <c r="H10" s="316">
        <v>2638.9</v>
      </c>
      <c r="I10" s="324">
        <f t="shared" si="1"/>
        <v>12.499467110031137</v>
      </c>
      <c r="J10" s="99"/>
      <c r="K10" s="198" t="s">
        <v>5</v>
      </c>
      <c r="L10" s="199">
        <v>1092</v>
      </c>
      <c r="M10" s="199">
        <v>180046.508</v>
      </c>
      <c r="N10" s="199">
        <v>41958</v>
      </c>
      <c r="O10" s="201">
        <f>(N10/E10)*100</f>
        <v>29.563751816115413</v>
      </c>
      <c r="P10" s="106"/>
      <c r="Q10" s="58"/>
    </row>
    <row r="11" spans="1:17" ht="16.5" customHeight="1">
      <c r="A11" s="58"/>
      <c r="B11" s="283"/>
      <c r="C11" s="197" t="s">
        <v>212</v>
      </c>
      <c r="D11" s="215">
        <v>9129</v>
      </c>
      <c r="E11" s="215">
        <v>10000</v>
      </c>
      <c r="F11" s="209">
        <f t="shared" si="0"/>
        <v>9.541023113155877</v>
      </c>
      <c r="G11" s="273">
        <v>337.8</v>
      </c>
      <c r="H11" s="274">
        <v>340</v>
      </c>
      <c r="I11" s="212">
        <f t="shared" si="1"/>
        <v>0.6512729425695696</v>
      </c>
      <c r="J11" s="99"/>
      <c r="K11" s="198" t="s">
        <v>9</v>
      </c>
      <c r="L11" s="199">
        <v>20</v>
      </c>
      <c r="M11" s="199">
        <v>565.178</v>
      </c>
      <c r="N11" s="199">
        <v>199</v>
      </c>
      <c r="O11" s="201">
        <f>(N11/E14)*100</f>
        <v>1.4449607900087134</v>
      </c>
      <c r="P11" s="106"/>
      <c r="Q11" s="58"/>
    </row>
    <row r="12" spans="1:17" ht="16.5" customHeight="1">
      <c r="A12" s="58"/>
      <c r="B12" s="283"/>
      <c r="C12" s="197" t="s">
        <v>213</v>
      </c>
      <c r="D12" s="215">
        <v>94321</v>
      </c>
      <c r="E12" s="215">
        <v>93173</v>
      </c>
      <c r="F12" s="209">
        <f t="shared" si="0"/>
        <v>-1.2171202595392283</v>
      </c>
      <c r="G12" s="273">
        <v>824.3</v>
      </c>
      <c r="H12" s="274">
        <v>996.9</v>
      </c>
      <c r="I12" s="212">
        <f t="shared" si="1"/>
        <v>20.93897852723523</v>
      </c>
      <c r="J12" s="99"/>
      <c r="K12" s="198" t="s">
        <v>10</v>
      </c>
      <c r="L12" s="199">
        <v>14</v>
      </c>
      <c r="M12" s="199">
        <v>13881.455</v>
      </c>
      <c r="N12" s="199">
        <v>1516</v>
      </c>
      <c r="O12" s="201">
        <f>(N12/E15)*100</f>
        <v>26.219301279833967</v>
      </c>
      <c r="P12" s="106"/>
      <c r="Q12" s="58"/>
    </row>
    <row r="13" spans="1:18" ht="16.5" customHeight="1">
      <c r="A13" s="58"/>
      <c r="B13" s="283"/>
      <c r="C13" s="197" t="s">
        <v>214</v>
      </c>
      <c r="D13" s="215">
        <v>35228</v>
      </c>
      <c r="E13" s="215">
        <v>38750.8</v>
      </c>
      <c r="F13" s="209">
        <f t="shared" si="0"/>
        <v>10.000000000000009</v>
      </c>
      <c r="G13" s="273">
        <v>1183.6</v>
      </c>
      <c r="H13" s="274">
        <v>1302</v>
      </c>
      <c r="I13" s="212">
        <f t="shared" si="1"/>
        <v>10.003379520108147</v>
      </c>
      <c r="J13" s="99"/>
      <c r="K13" s="198" t="s">
        <v>7</v>
      </c>
      <c r="L13" s="199">
        <v>57721</v>
      </c>
      <c r="M13" s="199">
        <v>3495475.13</v>
      </c>
      <c r="N13" s="199">
        <v>542350</v>
      </c>
      <c r="O13" s="201">
        <f>(N13/E16)*100</f>
        <v>53.80249252310526</v>
      </c>
      <c r="P13" s="106"/>
      <c r="Q13" s="58"/>
      <c r="R13" s="3"/>
    </row>
    <row r="14" spans="1:17" ht="21" customHeight="1">
      <c r="A14" s="58"/>
      <c r="B14" s="283"/>
      <c r="C14" s="198" t="s">
        <v>9</v>
      </c>
      <c r="D14" s="199">
        <v>20189</v>
      </c>
      <c r="E14" s="199">
        <v>13772</v>
      </c>
      <c r="F14" s="207">
        <f t="shared" si="0"/>
        <v>-31.784635197384713</v>
      </c>
      <c r="G14" s="320">
        <v>127.9</v>
      </c>
      <c r="H14" s="316">
        <v>118.9</v>
      </c>
      <c r="I14" s="324">
        <f t="shared" si="1"/>
        <v>-7.036747458952308</v>
      </c>
      <c r="J14" s="99"/>
      <c r="K14" s="198" t="s">
        <v>29</v>
      </c>
      <c r="L14" s="199">
        <v>25258</v>
      </c>
      <c r="M14" s="199">
        <v>937915.21</v>
      </c>
      <c r="N14" s="199">
        <v>151687</v>
      </c>
      <c r="O14" s="201">
        <f aca="true" t="shared" si="2" ref="O14:O19">(N14/E21)*100</f>
        <v>36.991686521629916</v>
      </c>
      <c r="P14" s="106"/>
      <c r="Q14" s="58"/>
    </row>
    <row r="15" spans="1:17" ht="15.75">
      <c r="A15" s="58"/>
      <c r="B15" s="283"/>
      <c r="C15" s="198" t="s">
        <v>10</v>
      </c>
      <c r="D15" s="199">
        <v>6175</v>
      </c>
      <c r="E15" s="199">
        <v>5782</v>
      </c>
      <c r="F15" s="207">
        <f t="shared" si="0"/>
        <v>-6.364372469635626</v>
      </c>
      <c r="G15" s="320">
        <v>226.2</v>
      </c>
      <c r="H15" s="316">
        <v>223.1</v>
      </c>
      <c r="I15" s="324">
        <f t="shared" si="1"/>
        <v>-1.3704686118479192</v>
      </c>
      <c r="J15" s="99"/>
      <c r="K15" s="198" t="s">
        <v>30</v>
      </c>
      <c r="L15" s="199">
        <v>341</v>
      </c>
      <c r="M15" s="199">
        <v>8382.59</v>
      </c>
      <c r="N15" s="199">
        <v>1908</v>
      </c>
      <c r="O15" s="201">
        <f t="shared" si="2"/>
        <v>14.576012223071046</v>
      </c>
      <c r="P15" s="106"/>
      <c r="Q15" s="58"/>
    </row>
    <row r="16" spans="1:17" ht="21" customHeight="1">
      <c r="A16" s="58"/>
      <c r="B16" s="283"/>
      <c r="C16" s="198" t="s">
        <v>7</v>
      </c>
      <c r="D16" s="199">
        <v>968872</v>
      </c>
      <c r="E16" s="199">
        <v>1008038.8</v>
      </c>
      <c r="F16" s="207">
        <f t="shared" si="0"/>
        <v>4.042515419993564</v>
      </c>
      <c r="G16" s="320">
        <v>22302.9</v>
      </c>
      <c r="H16" s="316">
        <v>28499.8</v>
      </c>
      <c r="I16" s="324">
        <f t="shared" si="1"/>
        <v>27.7851759188267</v>
      </c>
      <c r="J16" s="99"/>
      <c r="K16" s="198" t="s">
        <v>8</v>
      </c>
      <c r="L16" s="199">
        <v>5493</v>
      </c>
      <c r="M16" s="199">
        <v>697942.328</v>
      </c>
      <c r="N16" s="199">
        <v>106881</v>
      </c>
      <c r="O16" s="201">
        <f t="shared" si="2"/>
        <v>53.39324697642587</v>
      </c>
      <c r="P16" s="106"/>
      <c r="Q16" s="58"/>
    </row>
    <row r="17" spans="1:18" ht="16.5" customHeight="1">
      <c r="A17" s="58"/>
      <c r="B17" s="283"/>
      <c r="C17" s="197" t="s">
        <v>262</v>
      </c>
      <c r="D17" s="215">
        <v>478056</v>
      </c>
      <c r="E17" s="215">
        <v>523041.6</v>
      </c>
      <c r="F17" s="209">
        <f t="shared" si="0"/>
        <v>9.410110949344851</v>
      </c>
      <c r="G17" s="273">
        <v>10808.3</v>
      </c>
      <c r="H17" s="274">
        <v>14939.7</v>
      </c>
      <c r="I17" s="212">
        <f t="shared" si="1"/>
        <v>38.22432760008514</v>
      </c>
      <c r="J17" s="99"/>
      <c r="K17" s="198" t="s">
        <v>6</v>
      </c>
      <c r="L17" s="199">
        <v>1720</v>
      </c>
      <c r="M17" s="199">
        <v>54996.951</v>
      </c>
      <c r="N17" s="199">
        <v>9529</v>
      </c>
      <c r="O17" s="201">
        <f t="shared" si="2"/>
        <v>20.145877378435518</v>
      </c>
      <c r="P17" s="106"/>
      <c r="Q17" s="58"/>
      <c r="R17" s="114"/>
    </row>
    <row r="18" spans="1:17" ht="16.5" customHeight="1" thickBot="1">
      <c r="A18" s="58"/>
      <c r="B18" s="283"/>
      <c r="C18" s="197" t="s">
        <v>263</v>
      </c>
      <c r="D18" s="215">
        <v>170634</v>
      </c>
      <c r="E18" s="215">
        <v>183273.2</v>
      </c>
      <c r="F18" s="209">
        <f t="shared" si="0"/>
        <v>7.407199034190137</v>
      </c>
      <c r="G18" s="273">
        <v>4232.9</v>
      </c>
      <c r="H18" s="274">
        <v>6780.7</v>
      </c>
      <c r="I18" s="212">
        <f t="shared" si="1"/>
        <v>60.19041319190155</v>
      </c>
      <c r="J18" s="99"/>
      <c r="K18" s="202" t="s">
        <v>14</v>
      </c>
      <c r="L18" s="203">
        <v>15</v>
      </c>
      <c r="M18" s="203">
        <v>2006</v>
      </c>
      <c r="N18" s="203">
        <v>359</v>
      </c>
      <c r="O18" s="325">
        <f t="shared" si="2"/>
        <v>2.6416482707873437</v>
      </c>
      <c r="P18" s="106"/>
      <c r="Q18" s="58"/>
    </row>
    <row r="19" spans="1:17" ht="16.5" customHeight="1" thickBot="1">
      <c r="A19" s="58"/>
      <c r="B19" s="283"/>
      <c r="C19" s="197" t="s">
        <v>264</v>
      </c>
      <c r="D19" s="215">
        <v>287340</v>
      </c>
      <c r="E19" s="215">
        <v>269484</v>
      </c>
      <c r="F19" s="209">
        <f t="shared" si="0"/>
        <v>-6.21424096888703</v>
      </c>
      <c r="G19" s="273">
        <v>6609.5</v>
      </c>
      <c r="H19" s="274">
        <v>6145</v>
      </c>
      <c r="I19" s="212">
        <f t="shared" si="1"/>
        <v>-7.027763068310766</v>
      </c>
      <c r="J19" s="99"/>
      <c r="K19" s="204" t="s">
        <v>115</v>
      </c>
      <c r="L19" s="216">
        <f>L8+L9+L10+L11+L12+L13+L14+L15+L16+L17+L18</f>
        <v>92488</v>
      </c>
      <c r="M19" s="216">
        <f>M8+M9+M10+M11+M12+M13+M14+M15+M16+M17+M18</f>
        <v>5400327.902</v>
      </c>
      <c r="N19" s="216">
        <f>SUM(N8:N18)</f>
        <v>860142</v>
      </c>
      <c r="O19" s="213">
        <f t="shared" si="2"/>
        <v>44.290309860495164</v>
      </c>
      <c r="P19" s="106"/>
      <c r="Q19" s="58"/>
    </row>
    <row r="20" spans="1:17" ht="16.5" customHeight="1" thickBot="1">
      <c r="A20" s="58"/>
      <c r="B20" s="283"/>
      <c r="C20" s="197" t="s">
        <v>265</v>
      </c>
      <c r="D20" s="215">
        <v>32842</v>
      </c>
      <c r="E20" s="215">
        <v>32240</v>
      </c>
      <c r="F20" s="209">
        <f t="shared" si="0"/>
        <v>-1.8330186955727412</v>
      </c>
      <c r="G20" s="273">
        <v>652.2</v>
      </c>
      <c r="H20" s="274">
        <v>634.4</v>
      </c>
      <c r="I20" s="212">
        <f t="shared" si="1"/>
        <v>-2.7292241643667725</v>
      </c>
      <c r="J20" s="99"/>
      <c r="K20" s="819"/>
      <c r="L20" s="820"/>
      <c r="M20" s="820"/>
      <c r="N20" s="821"/>
      <c r="O20" s="822"/>
      <c r="P20" s="106"/>
      <c r="Q20" s="58"/>
    </row>
    <row r="21" spans="1:17" ht="21" customHeight="1" thickBot="1">
      <c r="A21" s="58"/>
      <c r="B21" s="283"/>
      <c r="C21" s="198" t="s">
        <v>29</v>
      </c>
      <c r="D21" s="199">
        <v>433242</v>
      </c>
      <c r="E21" s="199">
        <v>410057</v>
      </c>
      <c r="F21" s="207">
        <f t="shared" si="0"/>
        <v>-5.351512549568138</v>
      </c>
      <c r="G21" s="320">
        <v>10700</v>
      </c>
      <c r="H21" s="316">
        <v>9455</v>
      </c>
      <c r="I21" s="324">
        <f t="shared" si="1"/>
        <v>-11.635514018691584</v>
      </c>
      <c r="J21" s="99"/>
      <c r="K21" s="1324" t="s">
        <v>461</v>
      </c>
      <c r="L21" s="1325"/>
      <c r="M21" s="829" t="s">
        <v>266</v>
      </c>
      <c r="N21" s="837" t="s">
        <v>469</v>
      </c>
      <c r="O21" s="823" t="s">
        <v>12</v>
      </c>
      <c r="P21" s="106"/>
      <c r="Q21" s="58"/>
    </row>
    <row r="22" spans="1:17" ht="16.5" customHeight="1">
      <c r="A22" s="58"/>
      <c r="B22" s="283"/>
      <c r="C22" s="198" t="s">
        <v>30</v>
      </c>
      <c r="D22" s="199">
        <v>12538</v>
      </c>
      <c r="E22" s="199">
        <v>13090</v>
      </c>
      <c r="F22" s="207">
        <f t="shared" si="0"/>
        <v>4.402616047216457</v>
      </c>
      <c r="G22" s="320">
        <v>309.6</v>
      </c>
      <c r="H22" s="316">
        <v>326.6</v>
      </c>
      <c r="I22" s="324">
        <f t="shared" si="1"/>
        <v>5.490956072351416</v>
      </c>
      <c r="J22" s="99"/>
      <c r="K22" s="817" t="s">
        <v>462</v>
      </c>
      <c r="L22" s="538"/>
      <c r="M22" s="830">
        <v>10715</v>
      </c>
      <c r="N22" s="833">
        <v>1018023200.2299998</v>
      </c>
      <c r="O22" s="818">
        <f>(N22/N26)*100</f>
        <v>18.851135669274957</v>
      </c>
      <c r="P22" s="106"/>
      <c r="Q22" s="58"/>
    </row>
    <row r="23" spans="1:17" ht="16.5" customHeight="1">
      <c r="A23" s="58"/>
      <c r="B23" s="283"/>
      <c r="C23" s="198" t="s">
        <v>8</v>
      </c>
      <c r="D23" s="199">
        <v>198971</v>
      </c>
      <c r="E23" s="199">
        <v>200177</v>
      </c>
      <c r="F23" s="207">
        <f t="shared" si="0"/>
        <v>0.6061184795774333</v>
      </c>
      <c r="G23" s="320">
        <v>4063.9</v>
      </c>
      <c r="H23" s="316">
        <v>5462.3</v>
      </c>
      <c r="I23" s="324">
        <f t="shared" si="1"/>
        <v>34.41029552892543</v>
      </c>
      <c r="J23" s="99"/>
      <c r="K23" s="817" t="s">
        <v>463</v>
      </c>
      <c r="L23" s="538"/>
      <c r="M23" s="831">
        <v>41338</v>
      </c>
      <c r="N23" s="807">
        <v>785097821.0599998</v>
      </c>
      <c r="O23" s="818">
        <f>(N23/N26)*100</f>
        <v>14.53796488637045</v>
      </c>
      <c r="P23" s="106"/>
      <c r="Q23" s="58"/>
    </row>
    <row r="24" spans="1:17" ht="16.5" customHeight="1">
      <c r="A24" s="58"/>
      <c r="B24" s="283"/>
      <c r="C24" s="198" t="s">
        <v>6</v>
      </c>
      <c r="D24" s="199">
        <v>44500</v>
      </c>
      <c r="E24" s="199">
        <v>47300</v>
      </c>
      <c r="F24" s="207">
        <f t="shared" si="0"/>
        <v>6.292134831460672</v>
      </c>
      <c r="G24" s="320">
        <v>1290</v>
      </c>
      <c r="H24" s="316">
        <v>1116.3</v>
      </c>
      <c r="I24" s="324">
        <f t="shared" si="1"/>
        <v>-13.465116279069766</v>
      </c>
      <c r="J24" s="99"/>
      <c r="K24" s="817" t="s">
        <v>464</v>
      </c>
      <c r="L24" s="827"/>
      <c r="M24" s="807">
        <v>11983</v>
      </c>
      <c r="N24" s="807">
        <v>765784766.35</v>
      </c>
      <c r="O24" s="818">
        <f>(N24/N26)*100</f>
        <v>14.180337462512052</v>
      </c>
      <c r="P24" s="106"/>
      <c r="Q24" s="58"/>
    </row>
    <row r="25" spans="1:17" s="5" customFormat="1" ht="18" customHeight="1" thickBot="1">
      <c r="A25" s="58"/>
      <c r="B25" s="283"/>
      <c r="C25" s="202" t="s">
        <v>209</v>
      </c>
      <c r="D25" s="203">
        <v>10009</v>
      </c>
      <c r="E25" s="203">
        <v>13590</v>
      </c>
      <c r="F25" s="208">
        <f t="shared" si="0"/>
        <v>35.777799980017974</v>
      </c>
      <c r="G25" s="321">
        <v>128.3</v>
      </c>
      <c r="H25" s="317">
        <v>189.4</v>
      </c>
      <c r="I25" s="325">
        <f t="shared" si="1"/>
        <v>47.62275915822292</v>
      </c>
      <c r="J25" s="99"/>
      <c r="K25" s="825" t="s">
        <v>465</v>
      </c>
      <c r="L25" s="828"/>
      <c r="M25" s="832">
        <v>28452</v>
      </c>
      <c r="N25" s="832">
        <v>2831422437.089999</v>
      </c>
      <c r="O25" s="824">
        <f>(N25/N26)*100</f>
        <v>52.43056198184255</v>
      </c>
      <c r="P25" s="106"/>
      <c r="Q25" s="58"/>
    </row>
    <row r="26" spans="1:17" ht="17.25" customHeight="1" thickBot="1">
      <c r="A26" s="58"/>
      <c r="B26" s="283"/>
      <c r="C26" s="204" t="s">
        <v>115</v>
      </c>
      <c r="D26" s="205">
        <f>D8+D9+D10+D14+D15+D16+D21+D22+D23+D24+D25</f>
        <v>1922074</v>
      </c>
      <c r="E26" s="205">
        <f>E8+E9+E10+E14+E15+E16+E21+E22+E23+E24+E25</f>
        <v>1942054.6</v>
      </c>
      <c r="F26" s="211">
        <f t="shared" si="0"/>
        <v>1.0395333374261462</v>
      </c>
      <c r="G26" s="322">
        <f>G8+G9+G10+G14+G15+G16+G21+G22+G23+G24+G25</f>
        <v>43235</v>
      </c>
      <c r="H26" s="318">
        <f>H8+H9+H10+H14+H15+H16+H21+H22+H23+H24+H25</f>
        <v>49668.50000000001</v>
      </c>
      <c r="I26" s="213">
        <f t="shared" si="1"/>
        <v>14.880305308199393</v>
      </c>
      <c r="J26" s="99"/>
      <c r="K26" s="826" t="s">
        <v>466</v>
      </c>
      <c r="L26" s="834"/>
      <c r="M26" s="333">
        <f>SUM(M22:M25)</f>
        <v>92488</v>
      </c>
      <c r="N26" s="835">
        <f>SUM(N22:N25)</f>
        <v>5400328224.729999</v>
      </c>
      <c r="O26" s="836">
        <f>(N26/N26)*100</f>
        <v>100</v>
      </c>
      <c r="P26" s="106"/>
      <c r="Q26" s="57"/>
    </row>
    <row r="27" spans="1:17" ht="15.75">
      <c r="A27" s="57"/>
      <c r="B27" s="284"/>
      <c r="C27" s="495" t="s">
        <v>516</v>
      </c>
      <c r="D27" s="282"/>
      <c r="E27" s="282"/>
      <c r="F27" s="282"/>
      <c r="G27" s="282"/>
      <c r="H27" s="282"/>
      <c r="I27" s="282"/>
      <c r="J27" s="282"/>
      <c r="K27" s="495" t="s">
        <v>460</v>
      </c>
      <c r="L27" s="282"/>
      <c r="M27" s="282"/>
      <c r="N27" s="282"/>
      <c r="O27" s="217">
        <f ca="1">NOW()</f>
        <v>42592.37758032407</v>
      </c>
      <c r="P27" s="131"/>
      <c r="Q27" s="57"/>
    </row>
    <row r="28" spans="1:17" ht="15" customHeight="1">
      <c r="A28" s="57"/>
      <c r="B28" s="116"/>
      <c r="C28" s="116"/>
      <c r="D28" s="116"/>
      <c r="E28" s="116"/>
      <c r="F28" s="116"/>
      <c r="G28" s="116"/>
      <c r="H28" s="116"/>
      <c r="I28" s="116"/>
      <c r="J28" s="116"/>
      <c r="K28" s="116"/>
      <c r="L28" s="116"/>
      <c r="M28" s="116"/>
      <c r="N28" s="116"/>
      <c r="O28" s="116"/>
      <c r="P28" s="58"/>
      <c r="Q28" s="57"/>
    </row>
  </sheetData>
  <sheetProtection/>
  <mergeCells count="6">
    <mergeCell ref="A1:Q1"/>
    <mergeCell ref="K21:L21"/>
    <mergeCell ref="B3:P3"/>
    <mergeCell ref="D6:F6"/>
    <mergeCell ref="G6:I6"/>
    <mergeCell ref="O6:O7"/>
  </mergeCells>
  <printOptions horizontalCentered="1" verticalCentered="1"/>
  <pageMargins left="0.5118110236220472" right="0.5118110236220472" top="0.7874015748031497" bottom="0.7874015748031497"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O30"/>
  <sheetViews>
    <sheetView zoomScalePageLayoutView="0" workbookViewId="0" topLeftCell="A1">
      <selection activeCell="P27" sqref="P27"/>
    </sheetView>
  </sheetViews>
  <sheetFormatPr defaultColWidth="9.140625" defaultRowHeight="12.75"/>
  <cols>
    <col min="1" max="1" width="2.7109375" style="0" customWidth="1"/>
    <col min="2" max="2" width="11.7109375" style="0" customWidth="1"/>
    <col min="3" max="3" width="12.28125" style="0" customWidth="1"/>
    <col min="4" max="4" width="13.7109375" style="0" customWidth="1"/>
    <col min="5" max="13" width="9.28125" style="0" customWidth="1"/>
    <col min="14" max="14" width="9.7109375" style="0" customWidth="1"/>
    <col min="15" max="15" width="2.7109375" style="0" customWidth="1"/>
  </cols>
  <sheetData>
    <row r="1" spans="1:15" ht="15" customHeight="1">
      <c r="A1" s="1323" t="s">
        <v>409</v>
      </c>
      <c r="B1" s="1323"/>
      <c r="C1" s="1323"/>
      <c r="D1" s="1323"/>
      <c r="E1" s="1323"/>
      <c r="F1" s="1323"/>
      <c r="G1" s="1323"/>
      <c r="H1" s="1323"/>
      <c r="I1" s="1323"/>
      <c r="J1" s="1323"/>
      <c r="K1" s="1323"/>
      <c r="L1" s="1323"/>
      <c r="M1" s="1323"/>
      <c r="N1" s="1323"/>
      <c r="O1" s="1323"/>
    </row>
    <row r="2" spans="1:15" ht="23.25" customHeight="1">
      <c r="A2" s="60"/>
      <c r="B2" s="1333" t="s">
        <v>35</v>
      </c>
      <c r="C2" s="1334"/>
      <c r="D2" s="1334"/>
      <c r="E2" s="1334"/>
      <c r="F2" s="1334"/>
      <c r="G2" s="1334"/>
      <c r="H2" s="1334"/>
      <c r="I2" s="1334"/>
      <c r="J2" s="1334"/>
      <c r="K2" s="1334"/>
      <c r="L2" s="1334"/>
      <c r="M2" s="1334"/>
      <c r="N2" s="1335"/>
      <c r="O2" s="146"/>
    </row>
    <row r="3" spans="1:15" ht="13.5" customHeight="1">
      <c r="A3" s="60"/>
      <c r="B3" s="136"/>
      <c r="C3" s="137"/>
      <c r="D3" s="137"/>
      <c r="E3" s="137"/>
      <c r="F3" s="137"/>
      <c r="G3" s="137"/>
      <c r="H3" s="137"/>
      <c r="I3" s="137"/>
      <c r="J3" s="137"/>
      <c r="K3" s="137"/>
      <c r="L3" s="137"/>
      <c r="M3" s="137"/>
      <c r="N3" s="139"/>
      <c r="O3" s="57"/>
    </row>
    <row r="4" spans="1:15" ht="18" customHeight="1">
      <c r="A4" s="60"/>
      <c r="B4" s="1336" t="s">
        <v>215</v>
      </c>
      <c r="C4" s="1337"/>
      <c r="D4" s="1338"/>
      <c r="E4" s="147">
        <v>2007</v>
      </c>
      <c r="F4" s="147">
        <v>2008</v>
      </c>
      <c r="G4" s="147">
        <v>2009</v>
      </c>
      <c r="H4" s="147">
        <v>2010</v>
      </c>
      <c r="I4" s="147">
        <v>2011</v>
      </c>
      <c r="J4" s="147">
        <v>2012</v>
      </c>
      <c r="K4" s="147">
        <v>2013</v>
      </c>
      <c r="L4" s="147">
        <v>2014</v>
      </c>
      <c r="M4" s="147">
        <v>2015</v>
      </c>
      <c r="N4" s="147">
        <v>2016</v>
      </c>
      <c r="O4" s="58"/>
    </row>
    <row r="5" spans="1:15" ht="18" customHeight="1">
      <c r="A5" s="58"/>
      <c r="B5" s="148" t="s">
        <v>299</v>
      </c>
      <c r="C5" s="149"/>
      <c r="D5" s="171"/>
      <c r="E5" s="150">
        <v>36.07</v>
      </c>
      <c r="F5" s="150">
        <v>45.992</v>
      </c>
      <c r="G5" s="150">
        <v>39.47</v>
      </c>
      <c r="H5" s="150">
        <v>48.095</v>
      </c>
      <c r="I5" s="150">
        <v>43.484</v>
      </c>
      <c r="J5" s="150">
        <v>50.826</v>
      </c>
      <c r="K5" s="150">
        <v>49.152</v>
      </c>
      <c r="L5" s="150">
        <v>45.639</v>
      </c>
      <c r="M5" s="770">
        <v>43.2</v>
      </c>
      <c r="N5" s="770" t="s">
        <v>606</v>
      </c>
      <c r="O5" s="58"/>
    </row>
    <row r="6" spans="1:15" ht="18" customHeight="1">
      <c r="A6" s="58"/>
      <c r="B6" s="151" t="s">
        <v>36</v>
      </c>
      <c r="C6" s="300"/>
      <c r="D6" s="301"/>
      <c r="E6" s="152">
        <v>2.176</v>
      </c>
      <c r="F6" s="152">
        <v>2.169</v>
      </c>
      <c r="G6" s="152">
        <v>2.092</v>
      </c>
      <c r="H6" s="152">
        <v>2.076</v>
      </c>
      <c r="I6" s="152">
        <v>2.056</v>
      </c>
      <c r="J6" s="152">
        <v>2.049</v>
      </c>
      <c r="K6" s="152">
        <v>2.016</v>
      </c>
      <c r="L6" s="814">
        <v>1.946</v>
      </c>
      <c r="M6" s="813">
        <v>1.922</v>
      </c>
      <c r="N6" s="813">
        <v>1.942</v>
      </c>
      <c r="O6" s="58"/>
    </row>
    <row r="7" spans="1:15" ht="18" customHeight="1">
      <c r="A7" s="58"/>
      <c r="B7" s="151" t="s">
        <v>37</v>
      </c>
      <c r="C7" s="300"/>
      <c r="D7" s="301"/>
      <c r="E7" s="152">
        <v>16.57</v>
      </c>
      <c r="F7" s="153">
        <v>21.2</v>
      </c>
      <c r="G7" s="152">
        <v>18.86</v>
      </c>
      <c r="H7" s="152">
        <v>23.16</v>
      </c>
      <c r="I7" s="152">
        <v>21.15</v>
      </c>
      <c r="J7" s="152">
        <v>24.8</v>
      </c>
      <c r="K7" s="152">
        <v>24.31</v>
      </c>
      <c r="L7" s="152">
        <v>23.3</v>
      </c>
      <c r="M7" s="772">
        <v>22.5</v>
      </c>
      <c r="N7" s="772">
        <v>25.58</v>
      </c>
      <c r="O7" s="58"/>
    </row>
    <row r="8" spans="1:15" ht="12" customHeight="1">
      <c r="A8" s="58"/>
      <c r="B8" s="136"/>
      <c r="C8" s="137"/>
      <c r="D8" s="139"/>
      <c r="E8" s="143"/>
      <c r="F8" s="143"/>
      <c r="G8" s="143"/>
      <c r="H8" s="143"/>
      <c r="I8" s="143"/>
      <c r="J8" s="143"/>
      <c r="K8" s="143"/>
      <c r="L8" s="143"/>
      <c r="M8" s="510"/>
      <c r="N8" s="510"/>
      <c r="O8" s="58"/>
    </row>
    <row r="9" spans="1:15" ht="18" customHeight="1">
      <c r="A9" s="58"/>
      <c r="B9" s="156" t="s">
        <v>300</v>
      </c>
      <c r="C9" s="155"/>
      <c r="D9" s="168"/>
      <c r="E9" s="157">
        <v>28.398</v>
      </c>
      <c r="F9" s="157">
        <v>29.727</v>
      </c>
      <c r="G9" s="157">
        <v>30.481</v>
      </c>
      <c r="H9" s="157">
        <v>33.493</v>
      </c>
      <c r="I9" s="157">
        <v>33.61</v>
      </c>
      <c r="J9" s="157">
        <v>28.735</v>
      </c>
      <c r="K9" s="157">
        <v>32.01</v>
      </c>
      <c r="L9" s="157">
        <v>36.735</v>
      </c>
      <c r="M9" s="781">
        <v>37.1</v>
      </c>
      <c r="N9" s="1308" t="s">
        <v>607</v>
      </c>
      <c r="O9" s="58"/>
    </row>
    <row r="10" spans="1:15" ht="18" customHeight="1">
      <c r="A10" s="58"/>
      <c r="B10" s="158" t="s">
        <v>216</v>
      </c>
      <c r="C10" s="300"/>
      <c r="D10" s="301"/>
      <c r="E10" s="159">
        <v>3.891</v>
      </c>
      <c r="F10" s="159">
        <v>4.762</v>
      </c>
      <c r="G10" s="159">
        <v>4.279</v>
      </c>
      <c r="H10" s="159">
        <v>5.764</v>
      </c>
      <c r="I10" s="159">
        <v>8.733</v>
      </c>
      <c r="J10" s="159">
        <v>6.462</v>
      </c>
      <c r="K10" s="159">
        <v>5.275</v>
      </c>
      <c r="L10" s="159">
        <v>6.661</v>
      </c>
      <c r="M10" s="771">
        <v>6.2</v>
      </c>
      <c r="N10" s="771">
        <v>2.715</v>
      </c>
      <c r="O10" s="58"/>
    </row>
    <row r="11" spans="1:15" ht="18" customHeight="1">
      <c r="A11" s="58"/>
      <c r="B11" s="160" t="s">
        <v>217</v>
      </c>
      <c r="C11" s="300"/>
      <c r="D11" s="301"/>
      <c r="E11" s="161">
        <v>137.03</v>
      </c>
      <c r="F11" s="161">
        <v>160.2</v>
      </c>
      <c r="G11" s="161">
        <v>140.38</v>
      </c>
      <c r="H11" s="161">
        <v>172.11</v>
      </c>
      <c r="I11" s="161">
        <v>259.83</v>
      </c>
      <c r="J11" s="161">
        <v>224.9</v>
      </c>
      <c r="K11" s="161">
        <v>164.81</v>
      </c>
      <c r="L11" s="161">
        <v>181.35</v>
      </c>
      <c r="M11" s="772">
        <v>165.92</v>
      </c>
      <c r="N11" s="772">
        <v>147.72</v>
      </c>
      <c r="O11" s="58"/>
    </row>
    <row r="12" spans="1:15" ht="12" customHeight="1">
      <c r="A12" s="58"/>
      <c r="B12" s="136"/>
      <c r="C12" s="137"/>
      <c r="D12" s="139"/>
      <c r="E12" s="143"/>
      <c r="F12" s="143"/>
      <c r="G12" s="143"/>
      <c r="H12" s="143"/>
      <c r="I12" s="143"/>
      <c r="J12" s="143"/>
      <c r="K12" s="143"/>
      <c r="L12" s="143"/>
      <c r="M12" s="511"/>
      <c r="N12" s="511"/>
      <c r="O12" s="58"/>
    </row>
    <row r="13" spans="1:15" ht="18" customHeight="1">
      <c r="A13" s="58"/>
      <c r="B13" s="162" t="s">
        <v>342</v>
      </c>
      <c r="C13" s="155"/>
      <c r="D13" s="168"/>
      <c r="E13" s="154">
        <v>17.12</v>
      </c>
      <c r="F13" s="154">
        <v>17.66</v>
      </c>
      <c r="G13" s="154">
        <v>18.389</v>
      </c>
      <c r="H13" s="154">
        <v>19.13</v>
      </c>
      <c r="I13" s="154">
        <v>19.72</v>
      </c>
      <c r="J13" s="154">
        <v>20.33</v>
      </c>
      <c r="K13" s="154">
        <v>20.08</v>
      </c>
      <c r="L13" s="154">
        <v>20.3</v>
      </c>
      <c r="M13" s="781">
        <v>20.5</v>
      </c>
      <c r="N13" s="781" t="s">
        <v>608</v>
      </c>
      <c r="O13" s="58"/>
    </row>
    <row r="14" spans="1:15" ht="18" customHeight="1">
      <c r="A14" s="58"/>
      <c r="B14" s="151" t="s">
        <v>218</v>
      </c>
      <c r="C14" s="300"/>
      <c r="D14" s="301"/>
      <c r="E14" s="152">
        <v>5.53</v>
      </c>
      <c r="F14" s="152">
        <v>5.64</v>
      </c>
      <c r="G14" s="152">
        <v>5.81</v>
      </c>
      <c r="H14" s="152">
        <v>6.02</v>
      </c>
      <c r="I14" s="152">
        <v>6.1</v>
      </c>
      <c r="J14" s="152">
        <v>6.23</v>
      </c>
      <c r="K14" s="152">
        <v>6.43</v>
      </c>
      <c r="L14" s="152">
        <v>6.43</v>
      </c>
      <c r="M14" s="772">
        <v>6.2</v>
      </c>
      <c r="N14" s="772">
        <v>6.2</v>
      </c>
      <c r="O14" s="58"/>
    </row>
    <row r="15" spans="1:15" ht="12" customHeight="1">
      <c r="A15" s="58"/>
      <c r="B15" s="136"/>
      <c r="C15" s="137"/>
      <c r="D15" s="139"/>
      <c r="E15" s="143"/>
      <c r="F15" s="143"/>
      <c r="G15" s="143"/>
      <c r="H15" s="143"/>
      <c r="I15" s="143"/>
      <c r="J15" s="143"/>
      <c r="K15" s="143"/>
      <c r="L15" s="143"/>
      <c r="M15" s="511"/>
      <c r="N15" s="511"/>
      <c r="O15" s="58"/>
    </row>
    <row r="16" spans="1:15" ht="18" customHeight="1">
      <c r="A16" s="58"/>
      <c r="B16" s="162" t="s">
        <v>219</v>
      </c>
      <c r="C16" s="155"/>
      <c r="D16" s="168"/>
      <c r="E16" s="164">
        <v>18.47</v>
      </c>
      <c r="F16" s="164">
        <v>13.202</v>
      </c>
      <c r="G16" s="164">
        <v>15.766</v>
      </c>
      <c r="H16" s="164">
        <v>11.098</v>
      </c>
      <c r="I16" s="164">
        <v>11.34</v>
      </c>
      <c r="J16" s="164">
        <v>10.063</v>
      </c>
      <c r="K16" s="164">
        <v>15.591</v>
      </c>
      <c r="L16" s="164">
        <v>16.871</v>
      </c>
      <c r="M16" s="782">
        <v>15.94</v>
      </c>
      <c r="N16" s="782" t="s">
        <v>611</v>
      </c>
      <c r="O16" s="57"/>
    </row>
    <row r="17" spans="1:15" ht="12" customHeight="1">
      <c r="A17" s="58"/>
      <c r="B17" s="136"/>
      <c r="C17" s="137"/>
      <c r="D17" s="139"/>
      <c r="E17" s="143"/>
      <c r="F17" s="143"/>
      <c r="G17" s="143"/>
      <c r="H17" s="143"/>
      <c r="I17" s="143"/>
      <c r="J17" s="143"/>
      <c r="K17" s="143"/>
      <c r="L17" s="143"/>
      <c r="M17" s="511"/>
      <c r="N17" s="511"/>
      <c r="O17" s="57"/>
    </row>
    <row r="18" spans="1:15" ht="18" customHeight="1">
      <c r="A18" s="58"/>
      <c r="B18" s="162" t="s">
        <v>220</v>
      </c>
      <c r="C18" s="155"/>
      <c r="D18" s="168"/>
      <c r="E18" s="165">
        <v>2147</v>
      </c>
      <c r="F18" s="165">
        <v>2561</v>
      </c>
      <c r="G18" s="165">
        <v>2843</v>
      </c>
      <c r="H18" s="165">
        <v>2846</v>
      </c>
      <c r="I18" s="165">
        <v>2714</v>
      </c>
      <c r="J18" s="165">
        <v>2894</v>
      </c>
      <c r="K18" s="165">
        <v>3357</v>
      </c>
      <c r="L18" s="165">
        <v>4008</v>
      </c>
      <c r="M18" s="783">
        <f>M19+M20+M21</f>
        <v>4146.1</v>
      </c>
      <c r="N18" s="783">
        <f>N19+N20+N21</f>
        <v>4644.200000000001</v>
      </c>
      <c r="O18" s="57"/>
    </row>
    <row r="19" spans="1:15" ht="18" customHeight="1">
      <c r="A19" s="58"/>
      <c r="B19" s="151" t="s">
        <v>38</v>
      </c>
      <c r="C19" s="300"/>
      <c r="D19" s="301"/>
      <c r="E19" s="163">
        <v>2026</v>
      </c>
      <c r="F19" s="163">
        <v>2441</v>
      </c>
      <c r="G19" s="163">
        <v>2673</v>
      </c>
      <c r="H19" s="163">
        <v>2673</v>
      </c>
      <c r="I19" s="163">
        <v>2539</v>
      </c>
      <c r="J19" s="163">
        <v>2734</v>
      </c>
      <c r="K19" s="163">
        <v>3180</v>
      </c>
      <c r="L19" s="163">
        <v>3825</v>
      </c>
      <c r="M19" s="784">
        <v>4136</v>
      </c>
      <c r="N19" s="784">
        <v>4632</v>
      </c>
      <c r="O19" s="57"/>
    </row>
    <row r="20" spans="1:15" ht="18" customHeight="1">
      <c r="A20" s="58"/>
      <c r="B20" s="151" t="s">
        <v>221</v>
      </c>
      <c r="C20" s="300"/>
      <c r="D20" s="301"/>
      <c r="E20" s="152">
        <v>13</v>
      </c>
      <c r="F20" s="152">
        <v>13</v>
      </c>
      <c r="G20" s="152">
        <v>15</v>
      </c>
      <c r="H20" s="152">
        <v>15</v>
      </c>
      <c r="I20" s="152">
        <v>14</v>
      </c>
      <c r="J20" s="152">
        <v>8</v>
      </c>
      <c r="K20" s="152">
        <v>2.5</v>
      </c>
      <c r="L20" s="152">
        <v>4</v>
      </c>
      <c r="M20" s="772">
        <v>4.5</v>
      </c>
      <c r="N20" s="772">
        <v>1.6</v>
      </c>
      <c r="O20" s="57"/>
    </row>
    <row r="21" spans="1:15" ht="18" customHeight="1">
      <c r="A21" s="58"/>
      <c r="B21" s="151" t="s">
        <v>39</v>
      </c>
      <c r="C21" s="300"/>
      <c r="D21" s="301"/>
      <c r="E21" s="152">
        <v>12</v>
      </c>
      <c r="F21" s="152">
        <v>12</v>
      </c>
      <c r="G21" s="152">
        <v>15.3</v>
      </c>
      <c r="H21" s="152">
        <v>15.3</v>
      </c>
      <c r="I21" s="152">
        <v>15</v>
      </c>
      <c r="J21" s="152">
        <v>12</v>
      </c>
      <c r="K21" s="152">
        <v>0</v>
      </c>
      <c r="L21" s="152">
        <v>6.5</v>
      </c>
      <c r="M21" s="772">
        <v>5.6</v>
      </c>
      <c r="N21" s="772">
        <v>10.6</v>
      </c>
      <c r="O21" s="57"/>
    </row>
    <row r="22" spans="1:15" ht="12" customHeight="1">
      <c r="A22" s="58"/>
      <c r="B22" s="136"/>
      <c r="C22" s="137"/>
      <c r="D22" s="139"/>
      <c r="E22" s="143"/>
      <c r="F22" s="143"/>
      <c r="G22" s="143"/>
      <c r="H22" s="143"/>
      <c r="I22" s="143"/>
      <c r="J22" s="143"/>
      <c r="K22" s="143"/>
      <c r="L22" s="143"/>
      <c r="M22" s="511"/>
      <c r="N22" s="511"/>
      <c r="O22" s="57"/>
    </row>
    <row r="23" spans="1:15" ht="18" customHeight="1">
      <c r="A23" s="58"/>
      <c r="B23" s="162" t="s">
        <v>406</v>
      </c>
      <c r="C23" s="155"/>
      <c r="D23" s="168"/>
      <c r="E23" s="166">
        <v>29.5</v>
      </c>
      <c r="F23" s="166">
        <v>30.46</v>
      </c>
      <c r="G23" s="166">
        <v>31.65</v>
      </c>
      <c r="H23" s="166">
        <v>34.56</v>
      </c>
      <c r="I23" s="166">
        <v>32.14</v>
      </c>
      <c r="J23" s="166">
        <v>25.39</v>
      </c>
      <c r="K23" s="166">
        <v>29.41</v>
      </c>
      <c r="L23" s="166">
        <v>32.22</v>
      </c>
      <c r="M23" s="785">
        <v>30.1</v>
      </c>
      <c r="N23" s="785" t="s">
        <v>612</v>
      </c>
      <c r="O23" s="57"/>
    </row>
    <row r="24" spans="1:15" ht="12" customHeight="1">
      <c r="A24" s="57"/>
      <c r="B24" s="140"/>
      <c r="C24" s="141"/>
      <c r="D24" s="142"/>
      <c r="E24" s="144"/>
      <c r="F24" s="144"/>
      <c r="G24" s="144"/>
      <c r="H24" s="144"/>
      <c r="I24" s="144"/>
      <c r="J24" s="144"/>
      <c r="K24" s="144"/>
      <c r="L24" s="144"/>
      <c r="M24" s="511"/>
      <c r="N24" s="511"/>
      <c r="O24" s="57"/>
    </row>
    <row r="25" spans="1:15" ht="15" customHeight="1">
      <c r="A25" s="57"/>
      <c r="B25" s="162" t="s">
        <v>301</v>
      </c>
      <c r="C25" s="167"/>
      <c r="D25" s="169"/>
      <c r="E25" s="166">
        <v>6.6</v>
      </c>
      <c r="F25" s="166">
        <v>6.59</v>
      </c>
      <c r="G25" s="166">
        <v>6.61</v>
      </c>
      <c r="H25" s="166">
        <v>7.54</v>
      </c>
      <c r="I25" s="166">
        <v>9.23</v>
      </c>
      <c r="J25" s="166">
        <v>6.74</v>
      </c>
      <c r="K25" s="166">
        <v>5.28</v>
      </c>
      <c r="L25" s="166">
        <v>6.89</v>
      </c>
      <c r="M25" s="812">
        <v>7</v>
      </c>
      <c r="N25" s="1262" t="s">
        <v>613</v>
      </c>
      <c r="O25" s="57"/>
    </row>
    <row r="26" spans="1:15" ht="12" customHeight="1">
      <c r="A26" s="57"/>
      <c r="B26" s="140"/>
      <c r="C26" s="141"/>
      <c r="D26" s="142"/>
      <c r="E26" s="144"/>
      <c r="F26" s="144"/>
      <c r="G26" s="144"/>
      <c r="H26" s="144"/>
      <c r="I26" s="144"/>
      <c r="J26" s="144"/>
      <c r="K26" s="144"/>
      <c r="L26" s="144"/>
      <c r="M26" s="512"/>
      <c r="N26" s="512"/>
      <c r="O26" s="57"/>
    </row>
    <row r="27" spans="1:15" ht="12.75" customHeight="1">
      <c r="A27" s="57"/>
      <c r="B27" s="1339" t="s">
        <v>343</v>
      </c>
      <c r="C27" s="1340"/>
      <c r="D27" s="1341"/>
      <c r="E27" s="1345">
        <v>252.43</v>
      </c>
      <c r="F27" s="1331">
        <v>260.37</v>
      </c>
      <c r="G27" s="1331">
        <v>263.2</v>
      </c>
      <c r="H27" s="1331">
        <v>310.91</v>
      </c>
      <c r="I27" s="1331">
        <v>494.95</v>
      </c>
      <c r="J27" s="1331">
        <v>390.03</v>
      </c>
      <c r="K27" s="1331">
        <v>288.93</v>
      </c>
      <c r="L27" s="1331">
        <v>418.61</v>
      </c>
      <c r="M27" s="1347">
        <v>454.04</v>
      </c>
      <c r="N27" s="1347" t="s">
        <v>614</v>
      </c>
      <c r="O27" s="57"/>
    </row>
    <row r="28" spans="1:15" ht="15" customHeight="1">
      <c r="A28" s="57"/>
      <c r="B28" s="1342"/>
      <c r="C28" s="1343"/>
      <c r="D28" s="1344"/>
      <c r="E28" s="1346"/>
      <c r="F28" s="1332"/>
      <c r="G28" s="1332"/>
      <c r="H28" s="1332"/>
      <c r="I28" s="1332"/>
      <c r="J28" s="1332"/>
      <c r="K28" s="1332"/>
      <c r="L28" s="1332"/>
      <c r="M28" s="1348"/>
      <c r="N28" s="1348"/>
      <c r="O28" s="57"/>
    </row>
    <row r="29" spans="1:15" ht="15" customHeight="1">
      <c r="A29" s="57"/>
      <c r="B29" s="170" t="s">
        <v>40</v>
      </c>
      <c r="C29" s="145"/>
      <c r="D29" s="145"/>
      <c r="E29" s="145"/>
      <c r="F29" s="145"/>
      <c r="G29" s="145"/>
      <c r="H29" s="523" t="s">
        <v>610</v>
      </c>
      <c r="I29" s="145"/>
      <c r="J29" s="145"/>
      <c r="K29" s="523" t="s">
        <v>459</v>
      </c>
      <c r="L29" s="145"/>
      <c r="M29" s="145"/>
      <c r="N29" s="145"/>
      <c r="O29" s="57"/>
    </row>
    <row r="30" spans="1:15" ht="12.75" customHeight="1">
      <c r="A30" s="57"/>
      <c r="B30" s="763" t="s">
        <v>549</v>
      </c>
      <c r="C30" s="57"/>
      <c r="D30" s="57"/>
      <c r="E30" s="57"/>
      <c r="F30" s="57"/>
      <c r="G30" s="57"/>
      <c r="H30" s="763" t="s">
        <v>458</v>
      </c>
      <c r="I30" s="57"/>
      <c r="J30" s="57"/>
      <c r="K30" s="523" t="s">
        <v>609</v>
      </c>
      <c r="L30" s="57"/>
      <c r="M30" s="57"/>
      <c r="N30" s="57"/>
      <c r="O30" s="57"/>
    </row>
    <row r="31" ht="13.5" customHeight="1"/>
    <row r="33" ht="12.75" customHeight="1"/>
    <row r="34" ht="12.75" customHeight="1"/>
    <row r="36" ht="12.75" customHeight="1"/>
    <row r="37" ht="13.5" customHeight="1"/>
  </sheetData>
  <sheetProtection/>
  <mergeCells count="14">
    <mergeCell ref="A1:O1"/>
    <mergeCell ref="K27:K28"/>
    <mergeCell ref="L27:L28"/>
    <mergeCell ref="B2:N2"/>
    <mergeCell ref="B4:D4"/>
    <mergeCell ref="B27:D28"/>
    <mergeCell ref="E27:E28"/>
    <mergeCell ref="F27:F28"/>
    <mergeCell ref="G27:G28"/>
    <mergeCell ref="H27:H28"/>
    <mergeCell ref="M27:M28"/>
    <mergeCell ref="I27:I28"/>
    <mergeCell ref="J27:J28"/>
    <mergeCell ref="N27:N28"/>
  </mergeCells>
  <printOptions horizontalCentered="1" verticalCentered="1"/>
  <pageMargins left="0.5118110236220472" right="0.5118110236220472" top="0.7874015748031497" bottom="0.7874015748031497"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N25"/>
  <sheetViews>
    <sheetView zoomScalePageLayoutView="0" workbookViewId="0" topLeftCell="A1">
      <selection activeCell="M22" sqref="M22"/>
    </sheetView>
  </sheetViews>
  <sheetFormatPr defaultColWidth="9.140625" defaultRowHeight="12.75"/>
  <cols>
    <col min="1" max="1" width="2.7109375" style="0" customWidth="1"/>
    <col min="2" max="2" width="7.7109375" style="0" customWidth="1"/>
    <col min="3" max="3" width="12.7109375" style="0" customWidth="1"/>
    <col min="4" max="10" width="14.7109375" style="0" customWidth="1"/>
    <col min="11" max="11" width="7.7109375" style="0" customWidth="1"/>
    <col min="12" max="12" width="2.7109375" style="0" customWidth="1"/>
  </cols>
  <sheetData>
    <row r="1" spans="1:12" ht="18" customHeight="1">
      <c r="A1" s="1323" t="s">
        <v>410</v>
      </c>
      <c r="B1" s="1323"/>
      <c r="C1" s="1323"/>
      <c r="D1" s="1323"/>
      <c r="E1" s="1323"/>
      <c r="F1" s="1323"/>
      <c r="G1" s="1323"/>
      <c r="H1" s="1323"/>
      <c r="I1" s="1323"/>
      <c r="J1" s="1323"/>
      <c r="K1" s="1323"/>
      <c r="L1" s="1323"/>
    </row>
    <row r="2" spans="1:12" ht="27" customHeight="1">
      <c r="A2" s="60"/>
      <c r="B2" s="1333"/>
      <c r="C2" s="1334"/>
      <c r="D2" s="1334"/>
      <c r="E2" s="1334"/>
      <c r="F2" s="1334"/>
      <c r="G2" s="1334"/>
      <c r="H2" s="1334"/>
      <c r="I2" s="1334"/>
      <c r="J2" s="1334"/>
      <c r="K2" s="1335"/>
      <c r="L2" s="57"/>
    </row>
    <row r="3" spans="1:12" ht="19.5" customHeight="1">
      <c r="A3" s="60"/>
      <c r="B3" s="98"/>
      <c r="C3" s="1356" t="s">
        <v>41</v>
      </c>
      <c r="D3" s="1356"/>
      <c r="E3" s="1356"/>
      <c r="F3" s="1356"/>
      <c r="G3" s="1356"/>
      <c r="H3" s="1356"/>
      <c r="I3" s="1356"/>
      <c r="J3" s="1356"/>
      <c r="K3" s="106"/>
      <c r="L3" s="58"/>
    </row>
    <row r="4" spans="1:12" ht="19.5" customHeight="1">
      <c r="A4" s="60"/>
      <c r="B4" s="98"/>
      <c r="C4" s="355"/>
      <c r="D4" s="355"/>
      <c r="E4" s="355"/>
      <c r="F4" s="355"/>
      <c r="G4" s="355"/>
      <c r="H4" s="355"/>
      <c r="I4" s="355"/>
      <c r="J4" s="355"/>
      <c r="K4" s="106"/>
      <c r="L4" s="58"/>
    </row>
    <row r="5" spans="1:12" ht="19.5" customHeight="1">
      <c r="A5" s="60"/>
      <c r="B5" s="98"/>
      <c r="C5" s="1357" t="s">
        <v>42</v>
      </c>
      <c r="D5" s="1357"/>
      <c r="E5" s="1357"/>
      <c r="F5" s="1357"/>
      <c r="G5" s="1357"/>
      <c r="H5" s="1357"/>
      <c r="I5" s="1357"/>
      <c r="J5" s="1357"/>
      <c r="K5" s="106"/>
      <c r="L5" s="58"/>
    </row>
    <row r="6" spans="1:12" ht="21" customHeight="1">
      <c r="A6" s="60"/>
      <c r="B6" s="99"/>
      <c r="C6" s="1349" t="s">
        <v>43</v>
      </c>
      <c r="D6" s="1351" t="s">
        <v>44</v>
      </c>
      <c r="E6" s="1352"/>
      <c r="F6" s="1353"/>
      <c r="G6" s="1351" t="s">
        <v>45</v>
      </c>
      <c r="H6" s="1352"/>
      <c r="I6" s="1353"/>
      <c r="J6" s="1354" t="s">
        <v>46</v>
      </c>
      <c r="K6" s="103"/>
      <c r="L6" s="58"/>
    </row>
    <row r="7" spans="1:12" ht="21" customHeight="1">
      <c r="A7" s="60"/>
      <c r="B7" s="99"/>
      <c r="C7" s="1350"/>
      <c r="D7" s="291" t="s">
        <v>47</v>
      </c>
      <c r="E7" s="291" t="s">
        <v>48</v>
      </c>
      <c r="F7" s="291" t="s">
        <v>2</v>
      </c>
      <c r="G7" s="291" t="s">
        <v>49</v>
      </c>
      <c r="H7" s="291" t="s">
        <v>50</v>
      </c>
      <c r="I7" s="291" t="s">
        <v>2</v>
      </c>
      <c r="J7" s="1355"/>
      <c r="K7" s="103"/>
      <c r="L7" s="58"/>
    </row>
    <row r="8" spans="1:14" ht="19.5" customHeight="1">
      <c r="A8" s="60"/>
      <c r="B8" s="99"/>
      <c r="C8" s="290">
        <v>2004</v>
      </c>
      <c r="D8" s="7">
        <v>7723</v>
      </c>
      <c r="E8" s="7">
        <v>783</v>
      </c>
      <c r="F8" s="7">
        <f aca="true" t="shared" si="0" ref="F8:F20">SUM(D8:E8)</f>
        <v>8506</v>
      </c>
      <c r="G8" s="7">
        <v>4290</v>
      </c>
      <c r="H8" s="7">
        <v>454</v>
      </c>
      <c r="I8" s="7">
        <f aca="true" t="shared" si="1" ref="I8:I20">SUM(G8:H8)</f>
        <v>4744</v>
      </c>
      <c r="J8" s="8">
        <f aca="true" t="shared" si="2" ref="J8:J20">F8+I8</f>
        <v>13250</v>
      </c>
      <c r="K8" s="103"/>
      <c r="L8" s="58"/>
      <c r="N8" s="1251"/>
    </row>
    <row r="9" spans="1:12" ht="19.5" customHeight="1">
      <c r="A9" s="60"/>
      <c r="B9" s="99"/>
      <c r="C9" s="292">
        <v>2005</v>
      </c>
      <c r="D9" s="7">
        <v>10872</v>
      </c>
      <c r="E9" s="7">
        <v>1172</v>
      </c>
      <c r="F9" s="7">
        <f t="shared" si="0"/>
        <v>12044</v>
      </c>
      <c r="G9" s="7">
        <v>3191</v>
      </c>
      <c r="H9" s="7">
        <v>182</v>
      </c>
      <c r="I9" s="7">
        <f t="shared" si="1"/>
        <v>3373</v>
      </c>
      <c r="J9" s="8">
        <f t="shared" si="2"/>
        <v>15417</v>
      </c>
      <c r="K9" s="103"/>
      <c r="L9" s="58"/>
    </row>
    <row r="10" spans="1:12" ht="19.5" customHeight="1">
      <c r="A10" s="60"/>
      <c r="B10" s="99"/>
      <c r="C10" s="292">
        <v>2006</v>
      </c>
      <c r="D10" s="7">
        <f>9278</f>
        <v>9278</v>
      </c>
      <c r="E10" s="7">
        <v>446</v>
      </c>
      <c r="F10" s="7">
        <f t="shared" si="0"/>
        <v>9724</v>
      </c>
      <c r="G10" s="7">
        <v>1949</v>
      </c>
      <c r="H10" s="7">
        <v>182</v>
      </c>
      <c r="I10" s="7">
        <f t="shared" si="1"/>
        <v>2131</v>
      </c>
      <c r="J10" s="8">
        <f t="shared" si="2"/>
        <v>11855</v>
      </c>
      <c r="K10" s="103"/>
      <c r="L10" s="58"/>
    </row>
    <row r="11" spans="1:12" ht="19.5" customHeight="1">
      <c r="A11" s="60"/>
      <c r="B11" s="99"/>
      <c r="C11" s="292">
        <v>2007</v>
      </c>
      <c r="D11" s="7">
        <f>16781</f>
        <v>16781</v>
      </c>
      <c r="E11" s="7">
        <v>803</v>
      </c>
      <c r="F11" s="7">
        <f t="shared" si="0"/>
        <v>17584</v>
      </c>
      <c r="G11" s="7">
        <v>704</v>
      </c>
      <c r="H11" s="7">
        <v>182</v>
      </c>
      <c r="I11" s="7">
        <f t="shared" si="1"/>
        <v>886</v>
      </c>
      <c r="J11" s="8">
        <f t="shared" si="2"/>
        <v>18470</v>
      </c>
      <c r="K11" s="103"/>
      <c r="L11" s="58"/>
    </row>
    <row r="12" spans="1:12" ht="19.5" customHeight="1">
      <c r="A12" s="60"/>
      <c r="B12" s="99"/>
      <c r="C12" s="292">
        <v>2008</v>
      </c>
      <c r="D12" s="7">
        <v>11490</v>
      </c>
      <c r="E12" s="7">
        <v>1013</v>
      </c>
      <c r="F12" s="7">
        <f t="shared" si="0"/>
        <v>12503</v>
      </c>
      <c r="G12" s="7">
        <v>521</v>
      </c>
      <c r="H12" s="7">
        <v>178</v>
      </c>
      <c r="I12" s="7">
        <f t="shared" si="1"/>
        <v>699</v>
      </c>
      <c r="J12" s="8">
        <f t="shared" si="2"/>
        <v>13202</v>
      </c>
      <c r="K12" s="103"/>
      <c r="L12" s="58"/>
    </row>
    <row r="13" spans="1:12" ht="19.5" customHeight="1">
      <c r="A13" s="60"/>
      <c r="B13" s="99"/>
      <c r="C13" s="292">
        <v>2009</v>
      </c>
      <c r="D13" s="7">
        <v>14005</v>
      </c>
      <c r="E13" s="7">
        <v>651</v>
      </c>
      <c r="F13" s="7">
        <f t="shared" si="0"/>
        <v>14656</v>
      </c>
      <c r="G13" s="7">
        <v>494</v>
      </c>
      <c r="H13" s="7">
        <v>616</v>
      </c>
      <c r="I13" s="7">
        <f t="shared" si="1"/>
        <v>1110</v>
      </c>
      <c r="J13" s="8">
        <f t="shared" si="2"/>
        <v>15766</v>
      </c>
      <c r="K13" s="103"/>
      <c r="L13" s="58"/>
    </row>
    <row r="14" spans="1:12" ht="19.5" customHeight="1">
      <c r="A14" s="60"/>
      <c r="B14" s="99"/>
      <c r="C14" s="292">
        <v>2010</v>
      </c>
      <c r="D14" s="7">
        <v>8245</v>
      </c>
      <c r="E14" s="7">
        <v>699</v>
      </c>
      <c r="F14" s="7">
        <f t="shared" si="0"/>
        <v>8944</v>
      </c>
      <c r="G14" s="7">
        <v>506</v>
      </c>
      <c r="H14" s="7">
        <v>1648</v>
      </c>
      <c r="I14" s="7">
        <f t="shared" si="1"/>
        <v>2154</v>
      </c>
      <c r="J14" s="8">
        <f t="shared" si="2"/>
        <v>11098</v>
      </c>
      <c r="K14" s="103"/>
      <c r="L14" s="58"/>
    </row>
    <row r="15" spans="1:12" ht="19.5" customHeight="1">
      <c r="A15" s="60"/>
      <c r="B15" s="99"/>
      <c r="C15" s="292">
        <v>2011</v>
      </c>
      <c r="D15" s="7">
        <v>8233</v>
      </c>
      <c r="E15" s="7">
        <v>1005</v>
      </c>
      <c r="F15" s="7">
        <f t="shared" si="0"/>
        <v>9238</v>
      </c>
      <c r="G15" s="7">
        <v>487</v>
      </c>
      <c r="H15" s="7">
        <v>1615</v>
      </c>
      <c r="I15" s="7">
        <f t="shared" si="1"/>
        <v>2102</v>
      </c>
      <c r="J15" s="8">
        <f t="shared" si="2"/>
        <v>11340</v>
      </c>
      <c r="K15" s="103"/>
      <c r="L15" s="58"/>
    </row>
    <row r="16" spans="1:12" ht="19.5" customHeight="1">
      <c r="A16" s="60"/>
      <c r="B16" s="99"/>
      <c r="C16" s="292">
        <v>2012</v>
      </c>
      <c r="D16" s="7">
        <v>7722</v>
      </c>
      <c r="E16" s="7">
        <v>693</v>
      </c>
      <c r="F16" s="7">
        <f t="shared" si="0"/>
        <v>8415</v>
      </c>
      <c r="G16" s="7">
        <v>33.419</v>
      </c>
      <c r="H16" s="7">
        <v>1614.56</v>
      </c>
      <c r="I16" s="7">
        <f t="shared" si="1"/>
        <v>1647.979</v>
      </c>
      <c r="J16" s="8">
        <f t="shared" si="2"/>
        <v>10062.979</v>
      </c>
      <c r="K16" s="103"/>
      <c r="L16" s="57"/>
    </row>
    <row r="17" spans="1:12" ht="19.5" customHeight="1">
      <c r="A17" s="60"/>
      <c r="B17" s="99"/>
      <c r="C17" s="292">
        <v>2013</v>
      </c>
      <c r="D17" s="7">
        <v>12366</v>
      </c>
      <c r="E17" s="7">
        <v>1572</v>
      </c>
      <c r="F17" s="7">
        <f t="shared" si="0"/>
        <v>13938</v>
      </c>
      <c r="G17" s="7">
        <v>33.419</v>
      </c>
      <c r="H17" s="9">
        <v>1619.6645166666665</v>
      </c>
      <c r="I17" s="7">
        <f t="shared" si="1"/>
        <v>1653.0835166666666</v>
      </c>
      <c r="J17" s="8">
        <f t="shared" si="2"/>
        <v>15591.083516666666</v>
      </c>
      <c r="K17" s="103"/>
      <c r="L17" s="57"/>
    </row>
    <row r="18" spans="1:12" ht="19.5" customHeight="1">
      <c r="A18" s="60"/>
      <c r="B18" s="99"/>
      <c r="C18" s="292">
        <v>2014</v>
      </c>
      <c r="D18" s="9">
        <v>14163</v>
      </c>
      <c r="E18" s="9">
        <v>1055</v>
      </c>
      <c r="F18" s="7">
        <f t="shared" si="0"/>
        <v>15218</v>
      </c>
      <c r="G18" s="7">
        <v>33.419</v>
      </c>
      <c r="H18" s="9">
        <v>1619.6645166666665</v>
      </c>
      <c r="I18" s="7">
        <f t="shared" si="1"/>
        <v>1653.0835166666666</v>
      </c>
      <c r="J18" s="8">
        <f t="shared" si="2"/>
        <v>16871.083516666666</v>
      </c>
      <c r="K18" s="103"/>
      <c r="L18" s="57"/>
    </row>
    <row r="19" spans="1:12" ht="19.5" customHeight="1">
      <c r="A19" s="60"/>
      <c r="B19" s="99"/>
      <c r="C19" s="292">
        <v>2015</v>
      </c>
      <c r="D19" s="9">
        <v>12983</v>
      </c>
      <c r="E19" s="9">
        <v>1386.03</v>
      </c>
      <c r="F19" s="7">
        <f t="shared" si="0"/>
        <v>14369.03</v>
      </c>
      <c r="G19" s="7">
        <v>0</v>
      </c>
      <c r="H19" s="9">
        <v>1546.817</v>
      </c>
      <c r="I19" s="7">
        <f t="shared" si="1"/>
        <v>1546.817</v>
      </c>
      <c r="J19" s="8">
        <f t="shared" si="2"/>
        <v>15915.847000000002</v>
      </c>
      <c r="K19" s="103"/>
      <c r="L19" s="57"/>
    </row>
    <row r="20" spans="1:12" ht="19.5" customHeight="1">
      <c r="A20" s="60"/>
      <c r="B20" s="99"/>
      <c r="C20" s="292">
        <v>2016</v>
      </c>
      <c r="D20" s="9">
        <v>12469.827</v>
      </c>
      <c r="E20" s="9">
        <v>1119.208</v>
      </c>
      <c r="F20" s="7">
        <f t="shared" si="0"/>
        <v>13589.035</v>
      </c>
      <c r="G20" s="7">
        <v>0</v>
      </c>
      <c r="H20" s="1237">
        <v>1317.669</v>
      </c>
      <c r="I20" s="7">
        <f t="shared" si="1"/>
        <v>1317.669</v>
      </c>
      <c r="J20" s="8">
        <f t="shared" si="2"/>
        <v>14906.704</v>
      </c>
      <c r="K20" s="103"/>
      <c r="L20" s="57"/>
    </row>
    <row r="21" spans="1:12" ht="19.5" customHeight="1">
      <c r="A21" s="60"/>
      <c r="B21" s="99"/>
      <c r="C21" s="127" t="s">
        <v>51</v>
      </c>
      <c r="D21" s="128"/>
      <c r="E21" s="128"/>
      <c r="F21" s="128"/>
      <c r="G21" s="128"/>
      <c r="H21" s="128"/>
      <c r="I21" s="128"/>
      <c r="J21" s="128"/>
      <c r="K21" s="103"/>
      <c r="L21" s="57"/>
    </row>
    <row r="22" spans="1:12" ht="19.5" customHeight="1">
      <c r="A22" s="60"/>
      <c r="B22" s="117"/>
      <c r="C22" s="1232" t="s">
        <v>575</v>
      </c>
      <c r="D22" s="110"/>
      <c r="E22" s="118"/>
      <c r="F22" s="110"/>
      <c r="G22" s="118"/>
      <c r="H22" s="110"/>
      <c r="I22" s="110"/>
      <c r="J22" s="110"/>
      <c r="K22" s="129"/>
      <c r="L22" s="57"/>
    </row>
    <row r="23" spans="1:12" ht="19.5" customHeight="1">
      <c r="A23" s="60"/>
      <c r="B23" s="112"/>
      <c r="C23" s="174"/>
      <c r="D23" s="113"/>
      <c r="E23" s="113"/>
      <c r="F23" s="113"/>
      <c r="G23" s="113"/>
      <c r="H23" s="113"/>
      <c r="I23" s="113"/>
      <c r="J23" s="113"/>
      <c r="K23" s="131"/>
      <c r="L23" s="57"/>
    </row>
    <row r="24" spans="1:12" ht="18" customHeight="1">
      <c r="A24" s="57"/>
      <c r="B24" s="57"/>
      <c r="C24" s="175"/>
      <c r="D24" s="57"/>
      <c r="E24" s="57"/>
      <c r="F24" s="57"/>
      <c r="G24" s="57"/>
      <c r="H24" s="57"/>
      <c r="I24" s="57"/>
      <c r="J24" s="57"/>
      <c r="K24" s="57"/>
      <c r="L24" s="57"/>
    </row>
    <row r="25" ht="12.75">
      <c r="C25" s="4"/>
    </row>
  </sheetData>
  <sheetProtection/>
  <mergeCells count="8">
    <mergeCell ref="A1:L1"/>
    <mergeCell ref="B2:K2"/>
    <mergeCell ref="C6:C7"/>
    <mergeCell ref="D6:F6"/>
    <mergeCell ref="G6:I6"/>
    <mergeCell ref="J6:J7"/>
    <mergeCell ref="C3:J3"/>
    <mergeCell ref="C5:J5"/>
  </mergeCells>
  <printOptions horizontalCentered="1" verticalCentered="1"/>
  <pageMargins left="0.5118110236220472" right="0.5118110236220472" top="0.7874015748031497" bottom="0.7874015748031497" header="0.31496062992125984" footer="0.31496062992125984"/>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1:O23"/>
  <sheetViews>
    <sheetView zoomScalePageLayoutView="0" workbookViewId="0" topLeftCell="A1">
      <selection activeCell="P21" sqref="P21"/>
    </sheetView>
  </sheetViews>
  <sheetFormatPr defaultColWidth="9.140625" defaultRowHeight="12.75"/>
  <cols>
    <col min="1" max="1" width="2.7109375" style="0" customWidth="1"/>
    <col min="2" max="2" width="13.28125" style="0" customWidth="1"/>
    <col min="3" max="3" width="8.28125" style="0" customWidth="1"/>
    <col min="4" max="4" width="8.140625" style="0" customWidth="1"/>
    <col min="5" max="5" width="8.28125" style="0" customWidth="1"/>
    <col min="6" max="6" width="8.140625" style="0" customWidth="1"/>
    <col min="7" max="7" width="8.28125" style="0" customWidth="1"/>
    <col min="8" max="8" width="12.7109375" style="0" customWidth="1"/>
    <col min="9" max="9" width="10.28125" style="0" customWidth="1"/>
    <col min="10" max="10" width="8.421875" style="0" customWidth="1"/>
    <col min="11" max="11" width="11.421875" style="0" bestFit="1" customWidth="1"/>
    <col min="12" max="12" width="14.00390625" style="0" customWidth="1"/>
    <col min="13" max="13" width="9.28125" style="0" customWidth="1"/>
    <col min="14" max="14" width="10.140625" style="0" bestFit="1" customWidth="1"/>
    <col min="15" max="15" width="2.7109375" style="0" customWidth="1"/>
    <col min="251" max="251" width="3.28125" style="0" customWidth="1"/>
    <col min="252" max="252" width="13.28125" style="0" customWidth="1"/>
    <col min="253" max="253" width="8.28125" style="0" customWidth="1"/>
    <col min="254" max="254" width="8.140625" style="0" customWidth="1"/>
    <col min="255" max="255" width="8.28125" style="0" customWidth="1"/>
    <col min="256" max="16384" width="8.140625" style="0" customWidth="1"/>
  </cols>
  <sheetData>
    <row r="1" spans="1:15" ht="18" customHeight="1">
      <c r="A1" s="1323" t="s">
        <v>411</v>
      </c>
      <c r="B1" s="1323"/>
      <c r="C1" s="1323"/>
      <c r="D1" s="1323"/>
      <c r="E1" s="1323"/>
      <c r="F1" s="1323"/>
      <c r="G1" s="1323"/>
      <c r="H1" s="1323"/>
      <c r="I1" s="1323"/>
      <c r="J1" s="1323"/>
      <c r="K1" s="1323"/>
      <c r="L1" s="1323"/>
      <c r="M1" s="1323"/>
      <c r="N1" s="1323"/>
      <c r="O1" s="1323"/>
    </row>
    <row r="2" spans="1:15" ht="21" customHeight="1">
      <c r="A2" s="60"/>
      <c r="B2" s="1333"/>
      <c r="C2" s="1334"/>
      <c r="D2" s="1334"/>
      <c r="E2" s="1334"/>
      <c r="F2" s="1334"/>
      <c r="G2" s="1334"/>
      <c r="H2" s="1334"/>
      <c r="I2" s="1334"/>
      <c r="J2" s="1334"/>
      <c r="K2" s="1334"/>
      <c r="L2" s="1334"/>
      <c r="M2" s="1334"/>
      <c r="N2" s="1335"/>
      <c r="O2" s="57"/>
    </row>
    <row r="3" spans="1:15" ht="21" customHeight="1">
      <c r="A3" s="60"/>
      <c r="B3" s="95"/>
      <c r="C3" s="95"/>
      <c r="D3" s="95"/>
      <c r="E3" s="95"/>
      <c r="F3" s="95"/>
      <c r="G3" s="95"/>
      <c r="H3" s="95"/>
      <c r="I3" s="95"/>
      <c r="J3" s="95"/>
      <c r="K3" s="95"/>
      <c r="L3" s="95"/>
      <c r="M3" s="95"/>
      <c r="N3" s="96"/>
      <c r="O3" s="57"/>
    </row>
    <row r="4" spans="1:15" ht="21" customHeight="1">
      <c r="A4" s="60"/>
      <c r="B4" s="98"/>
      <c r="C4" s="99"/>
      <c r="D4" s="99"/>
      <c r="E4" s="99"/>
      <c r="F4" s="99"/>
      <c r="G4" s="99"/>
      <c r="H4" s="458"/>
      <c r="I4" s="458"/>
      <c r="J4" s="458"/>
      <c r="K4" s="458"/>
      <c r="L4" s="458"/>
      <c r="M4" s="458"/>
      <c r="N4" s="100"/>
      <c r="O4" s="58"/>
    </row>
    <row r="5" spans="1:15" ht="21" customHeight="1">
      <c r="A5" s="60"/>
      <c r="B5" s="99"/>
      <c r="C5" s="99"/>
      <c r="D5" s="99"/>
      <c r="E5" s="99"/>
      <c r="F5" s="99"/>
      <c r="G5" s="99"/>
      <c r="H5" s="1358"/>
      <c r="I5" s="1358"/>
      <c r="J5" s="1358"/>
      <c r="K5" s="458"/>
      <c r="L5" s="458"/>
      <c r="M5" s="458"/>
      <c r="N5" s="102"/>
      <c r="O5" s="58"/>
    </row>
    <row r="6" spans="1:15" ht="21" customHeight="1">
      <c r="A6" s="60"/>
      <c r="B6" s="459"/>
      <c r="C6" s="1359"/>
      <c r="D6" s="1359"/>
      <c r="E6" s="1358"/>
      <c r="F6" s="1358"/>
      <c r="G6" s="474"/>
      <c r="H6" s="459"/>
      <c r="I6" s="459"/>
      <c r="J6" s="459"/>
      <c r="K6" s="1360"/>
      <c r="L6" s="1360"/>
      <c r="M6" s="1360"/>
      <c r="N6" s="1361"/>
      <c r="O6" s="58"/>
    </row>
    <row r="7" spans="1:15" ht="21" customHeight="1">
      <c r="A7" s="60"/>
      <c r="B7" s="99"/>
      <c r="C7" s="104"/>
      <c r="D7" s="104"/>
      <c r="E7" s="104"/>
      <c r="F7" s="104"/>
      <c r="G7" s="104"/>
      <c r="H7" s="460"/>
      <c r="I7" s="460"/>
      <c r="J7" s="460"/>
      <c r="K7" s="461"/>
      <c r="L7" s="461"/>
      <c r="M7" s="461"/>
      <c r="N7" s="105"/>
      <c r="O7" s="58"/>
    </row>
    <row r="8" spans="1:15" ht="21" customHeight="1">
      <c r="A8" s="60"/>
      <c r="B8" s="99"/>
      <c r="C8" s="104"/>
      <c r="D8" s="104"/>
      <c r="E8" s="462"/>
      <c r="F8" s="104"/>
      <c r="G8" s="462"/>
      <c r="H8" s="460"/>
      <c r="I8" s="460"/>
      <c r="J8" s="460"/>
      <c r="K8" s="463"/>
      <c r="L8" s="463"/>
      <c r="M8" s="463"/>
      <c r="N8" s="107"/>
      <c r="O8" s="58"/>
    </row>
    <row r="9" spans="1:15" ht="21" customHeight="1">
      <c r="A9" s="60"/>
      <c r="B9" s="99"/>
      <c r="C9" s="104"/>
      <c r="D9" s="104"/>
      <c r="E9" s="462"/>
      <c r="F9" s="104"/>
      <c r="G9" s="462"/>
      <c r="H9" s="460"/>
      <c r="I9" s="460"/>
      <c r="J9" s="460"/>
      <c r="K9" s="463"/>
      <c r="L9" s="463"/>
      <c r="M9" s="463"/>
      <c r="N9" s="107"/>
      <c r="O9" s="58"/>
    </row>
    <row r="10" spans="1:15" ht="21" customHeight="1">
      <c r="A10" s="60"/>
      <c r="B10" s="99"/>
      <c r="C10" s="104"/>
      <c r="D10" s="104"/>
      <c r="E10" s="462"/>
      <c r="F10" s="104"/>
      <c r="G10" s="462"/>
      <c r="H10" s="460"/>
      <c r="I10" s="460"/>
      <c r="J10" s="460"/>
      <c r="K10" s="463"/>
      <c r="L10" s="463"/>
      <c r="M10" s="463"/>
      <c r="N10" s="107"/>
      <c r="O10" s="58"/>
    </row>
    <row r="11" spans="1:15" ht="21" customHeight="1">
      <c r="A11" s="60"/>
      <c r="B11" s="99"/>
      <c r="C11" s="104"/>
      <c r="D11" s="104"/>
      <c r="E11" s="462"/>
      <c r="F11" s="104"/>
      <c r="G11" s="462"/>
      <c r="H11" s="460"/>
      <c r="I11" s="460"/>
      <c r="J11" s="460"/>
      <c r="K11" s="463"/>
      <c r="L11" s="463"/>
      <c r="M11" s="463"/>
      <c r="N11" s="107"/>
      <c r="O11" s="58"/>
    </row>
    <row r="12" spans="1:15" ht="21" customHeight="1">
      <c r="A12" s="60"/>
      <c r="B12" s="99"/>
      <c r="C12" s="104"/>
      <c r="D12" s="104"/>
      <c r="E12" s="104"/>
      <c r="F12" s="104"/>
      <c r="G12" s="462"/>
      <c r="H12" s="460"/>
      <c r="I12" s="460"/>
      <c r="J12" s="460"/>
      <c r="K12" s="463"/>
      <c r="L12" s="463"/>
      <c r="M12" s="463"/>
      <c r="N12" s="107"/>
      <c r="O12" s="58"/>
    </row>
    <row r="13" spans="1:15" ht="21" customHeight="1">
      <c r="A13" s="60"/>
      <c r="B13" s="99"/>
      <c r="C13" s="104"/>
      <c r="D13" s="104"/>
      <c r="E13" s="462"/>
      <c r="F13" s="104"/>
      <c r="G13" s="462"/>
      <c r="H13" s="460"/>
      <c r="I13" s="460"/>
      <c r="J13" s="460"/>
      <c r="K13" s="463"/>
      <c r="L13" s="463"/>
      <c r="M13" s="463"/>
      <c r="N13" s="107"/>
      <c r="O13" s="58"/>
    </row>
    <row r="14" spans="1:15" ht="21" customHeight="1">
      <c r="A14" s="60"/>
      <c r="B14" s="99"/>
      <c r="C14" s="104"/>
      <c r="D14" s="104"/>
      <c r="E14" s="104"/>
      <c r="F14" s="104"/>
      <c r="G14" s="104"/>
      <c r="H14" s="460"/>
      <c r="I14" s="460"/>
      <c r="J14" s="460"/>
      <c r="K14" s="464"/>
      <c r="L14" s="463"/>
      <c r="M14" s="463"/>
      <c r="N14" s="107"/>
      <c r="O14" s="58"/>
    </row>
    <row r="15" spans="1:15" ht="21" customHeight="1">
      <c r="A15" s="60"/>
      <c r="B15" s="99"/>
      <c r="C15" s="104"/>
      <c r="D15" s="104"/>
      <c r="E15" s="462"/>
      <c r="F15" s="104"/>
      <c r="G15" s="462"/>
      <c r="H15" s="460"/>
      <c r="I15" s="460"/>
      <c r="J15" s="460"/>
      <c r="K15" s="464"/>
      <c r="L15" s="464"/>
      <c r="M15" s="465"/>
      <c r="N15" s="109"/>
      <c r="O15" s="58"/>
    </row>
    <row r="16" spans="1:15" ht="21" customHeight="1">
      <c r="A16" s="60"/>
      <c r="B16" s="99"/>
      <c r="C16" s="104"/>
      <c r="D16" s="104"/>
      <c r="E16" s="462"/>
      <c r="F16" s="104"/>
      <c r="G16" s="462"/>
      <c r="H16" s="460"/>
      <c r="I16" s="460"/>
      <c r="J16" s="460"/>
      <c r="K16" s="466"/>
      <c r="L16" s="466"/>
      <c r="M16" s="466"/>
      <c r="N16" s="109"/>
      <c r="O16" s="58"/>
    </row>
    <row r="17" spans="1:15" ht="21" customHeight="1">
      <c r="A17" s="60"/>
      <c r="B17" s="99"/>
      <c r="C17" s="104"/>
      <c r="D17" s="104"/>
      <c r="E17" s="462"/>
      <c r="F17" s="104"/>
      <c r="G17" s="462"/>
      <c r="H17" s="460"/>
      <c r="I17" s="460"/>
      <c r="J17" s="460"/>
      <c r="K17" s="458"/>
      <c r="L17" s="467"/>
      <c r="M17" s="467"/>
      <c r="N17" s="100"/>
      <c r="O17" s="57"/>
    </row>
    <row r="18" spans="1:15" ht="21" customHeight="1">
      <c r="A18" s="60"/>
      <c r="B18" s="99"/>
      <c r="C18" s="104"/>
      <c r="D18" s="104"/>
      <c r="E18" s="462"/>
      <c r="F18" s="104"/>
      <c r="G18" s="462"/>
      <c r="H18" s="460"/>
      <c r="I18" s="460"/>
      <c r="J18" s="460"/>
      <c r="K18" s="458"/>
      <c r="L18" s="458"/>
      <c r="M18" s="458"/>
      <c r="N18" s="100"/>
      <c r="O18" s="57"/>
    </row>
    <row r="19" spans="1:15" ht="21" customHeight="1">
      <c r="A19" s="60"/>
      <c r="B19" s="99"/>
      <c r="C19" s="104"/>
      <c r="D19" s="104"/>
      <c r="E19" s="462"/>
      <c r="F19" s="104"/>
      <c r="G19" s="462"/>
      <c r="H19" s="460"/>
      <c r="I19" s="460"/>
      <c r="J19" s="460"/>
      <c r="K19" s="458"/>
      <c r="L19" s="458"/>
      <c r="M19" s="458"/>
      <c r="N19" s="100"/>
      <c r="O19" s="57"/>
    </row>
    <row r="20" spans="1:15" ht="21" customHeight="1">
      <c r="A20" s="60"/>
      <c r="B20" s="99"/>
      <c r="C20" s="104"/>
      <c r="D20" s="104"/>
      <c r="E20" s="104"/>
      <c r="F20" s="104"/>
      <c r="G20" s="104"/>
      <c r="H20" s="460"/>
      <c r="I20" s="460"/>
      <c r="J20" s="460"/>
      <c r="K20" s="458"/>
      <c r="L20" s="458"/>
      <c r="M20" s="458"/>
      <c r="N20" s="100"/>
      <c r="O20" s="57"/>
    </row>
    <row r="21" spans="1:15" ht="21" customHeight="1">
      <c r="A21" s="60"/>
      <c r="B21" s="117"/>
      <c r="C21" s="118"/>
      <c r="D21" s="110"/>
      <c r="E21" s="118"/>
      <c r="F21" s="110"/>
      <c r="G21" s="118"/>
      <c r="H21" s="460"/>
      <c r="I21" s="460"/>
      <c r="J21" s="460"/>
      <c r="K21" s="458"/>
      <c r="L21" s="458"/>
      <c r="M21" s="458"/>
      <c r="N21" s="100"/>
      <c r="O21" s="57"/>
    </row>
    <row r="22" spans="1:15" ht="21" customHeight="1">
      <c r="A22" s="60"/>
      <c r="B22" s="495" t="s">
        <v>517</v>
      </c>
      <c r="C22" s="113"/>
      <c r="D22" s="113"/>
      <c r="E22" s="113"/>
      <c r="F22" s="113"/>
      <c r="G22" s="113"/>
      <c r="H22" s="289"/>
      <c r="I22" s="289"/>
      <c r="J22" s="289"/>
      <c r="K22" s="113"/>
      <c r="L22" s="113"/>
      <c r="M22" s="113"/>
      <c r="N22" s="468">
        <f ca="1">NOW()</f>
        <v>42592.37758032407</v>
      </c>
      <c r="O22" s="57"/>
    </row>
    <row r="23" spans="1:15" ht="18" customHeight="1">
      <c r="A23" s="57"/>
      <c r="B23" s="57"/>
      <c r="C23" s="57"/>
      <c r="D23" s="57"/>
      <c r="E23" s="57"/>
      <c r="F23" s="57"/>
      <c r="G23" s="57"/>
      <c r="H23" s="57"/>
      <c r="I23" s="57"/>
      <c r="J23" s="57"/>
      <c r="K23" s="57"/>
      <c r="L23" s="57"/>
      <c r="M23" s="57"/>
      <c r="N23" s="57"/>
      <c r="O23" s="57"/>
    </row>
  </sheetData>
  <sheetProtection/>
  <mergeCells count="7">
    <mergeCell ref="A1:O1"/>
    <mergeCell ref="B2:N2"/>
    <mergeCell ref="H5:J5"/>
    <mergeCell ref="C6:D6"/>
    <mergeCell ref="E6:F6"/>
    <mergeCell ref="K6:L6"/>
    <mergeCell ref="M6:N6"/>
  </mergeCells>
  <printOptions horizontalCentered="1" verticalCentered="1"/>
  <pageMargins left="0.5118110236220472" right="0.5118110236220472" top="0.7874015748031497" bottom="0.7874015748031497"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geame</dc:creator>
  <cp:keywords/>
  <dc:description/>
  <cp:lastModifiedBy>JFS</cp:lastModifiedBy>
  <cp:lastPrinted>2016-08-05T17:28:13Z</cp:lastPrinted>
  <dcterms:created xsi:type="dcterms:W3CDTF">2001-03-13T14:19:45Z</dcterms:created>
  <dcterms:modified xsi:type="dcterms:W3CDTF">2016-08-10T12:03:44Z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